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tabRatio="905"/>
  </bookViews>
  <sheets>
    <sheet name="калькуляция 2021" sheetId="56" r:id="rId1"/>
    <sheet name="калькуляция с 01.10.2021" sheetId="54" r:id="rId2"/>
    <sheet name="тариф с 01.10.2021" sheetId="51" r:id="rId3"/>
    <sheet name="калькуляция с 01.01.по30.09.21" sheetId="53" r:id="rId4"/>
    <sheet name="калькуляция 2020 " sheetId="50" r:id="rId5"/>
    <sheet name="калькуляция 2019" sheetId="52" r:id="rId6"/>
    <sheet name="тариф" sheetId="34" r:id="rId7"/>
    <sheet name="ТХ МКД" sheetId="48" r:id="rId8"/>
    <sheet name="Лист1" sheetId="55" r:id="rId9"/>
  </sheets>
  <definedNames>
    <definedName name="ВИДЫ_МУП" localSheetId="5">#REF!</definedName>
    <definedName name="ВИДЫ_МУП" localSheetId="4">#REF!</definedName>
    <definedName name="ВИДЫ_МУП" localSheetId="0">#REF!</definedName>
    <definedName name="ВИДЫ_МУП" localSheetId="3">#REF!</definedName>
    <definedName name="ВИДЫ_МУП" localSheetId="1">#REF!</definedName>
    <definedName name="ВИДЫ_МУП">#REF!</definedName>
    <definedName name="_xlnm.Print_Area" localSheetId="5">'калькуляция 2019'!$A$1:$H$125</definedName>
    <definedName name="_xlnm.Print_Area" localSheetId="4">'калькуляция 2020 '!$A$1:$H$124</definedName>
    <definedName name="_xlnm.Print_Area" localSheetId="0">'калькуляция 2021'!$A$1:$H$127</definedName>
    <definedName name="_xlnm.Print_Area" localSheetId="3">'калькуляция с 01.01.по30.09.21'!$A$1:$H$124</definedName>
    <definedName name="_xlnm.Print_Area" localSheetId="1">'калькуляция с 01.10.2021'!$A$1:$H$124</definedName>
    <definedName name="Резервный_фонд" localSheetId="5">#REF!</definedName>
    <definedName name="Резервный_фонд" localSheetId="4">#REF!</definedName>
    <definedName name="Резервный_фонд" localSheetId="0">#REF!</definedName>
    <definedName name="Резервный_фонд" localSheetId="3">#REF!</definedName>
    <definedName name="Резервный_фонд" localSheetId="1">#REF!</definedName>
    <definedName name="Резервный_фонд">#REF!</definedName>
    <definedName name="Система_налогообложения" localSheetId="5">#REF!</definedName>
    <definedName name="Система_налогообложения" localSheetId="4">#REF!</definedName>
    <definedName name="Система_налогообложения" localSheetId="0">#REF!</definedName>
    <definedName name="Система_налогообложения" localSheetId="3">#REF!</definedName>
    <definedName name="Система_налогообложения" localSheetId="1">#REF!</definedName>
    <definedName name="Система_налогообложения">#REF!</definedName>
    <definedName name="Ставка" localSheetId="5">#REF!</definedName>
    <definedName name="Ставка" localSheetId="4">#REF!</definedName>
    <definedName name="Ставка" localSheetId="0">#REF!</definedName>
    <definedName name="Ставка" localSheetId="3">#REF!</definedName>
    <definedName name="Ставка" localSheetId="1">#REF!</definedName>
    <definedName name="Ставка">#REF!</definedName>
  </definedNames>
  <calcPr calcId="144525" refMode="R1C1"/>
</workbook>
</file>

<file path=xl/calcChain.xml><?xml version="1.0" encoding="utf-8"?>
<calcChain xmlns="http://schemas.openxmlformats.org/spreadsheetml/2006/main">
  <c r="C117" i="56" l="1"/>
  <c r="C84" i="56" l="1"/>
  <c r="D85" i="56"/>
  <c r="B4" i="56"/>
  <c r="C118" i="56" l="1"/>
  <c r="C120" i="56" s="1"/>
  <c r="C122" i="56" s="1"/>
  <c r="D117" i="56"/>
  <c r="E117" i="56"/>
  <c r="B85" i="53"/>
  <c r="B84" i="53"/>
  <c r="C79" i="56"/>
  <c r="C77" i="56"/>
  <c r="C78" i="56"/>
  <c r="C73" i="56"/>
  <c r="C74" i="56"/>
  <c r="C75" i="56"/>
  <c r="C76" i="56"/>
  <c r="G75" i="56"/>
  <c r="F74" i="56" s="1"/>
  <c r="F75" i="56" s="1"/>
  <c r="C72" i="56"/>
  <c r="C67" i="56"/>
  <c r="C68" i="56"/>
  <c r="C69" i="56"/>
  <c r="C70" i="56"/>
  <c r="G69" i="56"/>
  <c r="F67" i="56" s="1"/>
  <c r="F68" i="56" s="1"/>
  <c r="C66" i="56"/>
  <c r="C63" i="56"/>
  <c r="C62" i="56" s="1"/>
  <c r="C59" i="56"/>
  <c r="C58" i="56" s="1"/>
  <c r="C51" i="56"/>
  <c r="C46" i="56"/>
  <c r="C41" i="56"/>
  <c r="C36" i="56"/>
  <c r="C30" i="56"/>
  <c r="C25" i="56"/>
  <c r="C20" i="56"/>
  <c r="C15" i="56"/>
  <c r="C10" i="56"/>
  <c r="B121" i="56"/>
  <c r="C121" i="56"/>
  <c r="B85" i="56"/>
  <c r="B84" i="56"/>
  <c r="B79" i="56"/>
  <c r="E79" i="56" s="1"/>
  <c r="B78" i="56"/>
  <c r="D77" i="56"/>
  <c r="D64" i="56" s="1"/>
  <c r="G74" i="56"/>
  <c r="C71" i="56"/>
  <c r="G68" i="56"/>
  <c r="E65" i="56"/>
  <c r="C65" i="56"/>
  <c r="B63" i="56"/>
  <c r="D62" i="56"/>
  <c r="C61" i="56"/>
  <c r="E61" i="56" s="1"/>
  <c r="B60" i="56"/>
  <c r="C60" i="56" s="1"/>
  <c r="E60" i="56" s="1"/>
  <c r="B59" i="56"/>
  <c r="D58" i="56"/>
  <c r="B57" i="56"/>
  <c r="C57" i="56" s="1"/>
  <c r="D56" i="56"/>
  <c r="B56" i="56"/>
  <c r="C56" i="56" s="1"/>
  <c r="E56" i="56" s="1"/>
  <c r="G53" i="56"/>
  <c r="G54" i="56" s="1"/>
  <c r="D51" i="56"/>
  <c r="B51" i="56"/>
  <c r="G48" i="56"/>
  <c r="B46" i="56"/>
  <c r="G43" i="56"/>
  <c r="G44" i="56" s="1"/>
  <c r="B41" i="56"/>
  <c r="H38" i="56"/>
  <c r="H39" i="56" s="1"/>
  <c r="G38" i="56"/>
  <c r="G39" i="56" s="1"/>
  <c r="B36" i="56"/>
  <c r="E36" i="56" s="1"/>
  <c r="D35" i="56"/>
  <c r="D120" i="56" s="1"/>
  <c r="G32" i="56"/>
  <c r="G33" i="56" s="1"/>
  <c r="D30" i="56"/>
  <c r="B30" i="56"/>
  <c r="G27" i="56"/>
  <c r="D25" i="56"/>
  <c r="B25" i="56"/>
  <c r="G22" i="56"/>
  <c r="G23" i="56" s="1"/>
  <c r="D20" i="56"/>
  <c r="B20" i="56"/>
  <c r="I17" i="56"/>
  <c r="H17" i="56"/>
  <c r="H18" i="56" s="1"/>
  <c r="G17" i="56"/>
  <c r="G18" i="56" s="1"/>
  <c r="D15" i="56"/>
  <c r="B15" i="56"/>
  <c r="H12" i="56"/>
  <c r="H13" i="56" s="1"/>
  <c r="G12" i="56"/>
  <c r="G13" i="56" s="1"/>
  <c r="D10" i="56"/>
  <c r="B10" i="56"/>
  <c r="D9" i="56" l="1"/>
  <c r="C64" i="56"/>
  <c r="E51" i="56"/>
  <c r="E46" i="56"/>
  <c r="E41" i="56"/>
  <c r="C35" i="56"/>
  <c r="E30" i="56"/>
  <c r="E25" i="56"/>
  <c r="E20" i="56"/>
  <c r="E15" i="56"/>
  <c r="E10" i="56"/>
  <c r="C9" i="56"/>
  <c r="E9" i="56" s="1"/>
  <c r="B58" i="56"/>
  <c r="B62" i="56"/>
  <c r="E62" i="56" s="1"/>
  <c r="B68" i="56"/>
  <c r="B67" i="56"/>
  <c r="B77" i="56"/>
  <c r="E77" i="56" s="1"/>
  <c r="B69" i="56"/>
  <c r="B73" i="56"/>
  <c r="B9" i="56"/>
  <c r="C119" i="54"/>
  <c r="C66" i="54"/>
  <c r="C67" i="54"/>
  <c r="C68" i="54"/>
  <c r="C69" i="54"/>
  <c r="C70" i="54"/>
  <c r="C71" i="54"/>
  <c r="C72" i="54"/>
  <c r="C73" i="54"/>
  <c r="C74" i="54"/>
  <c r="C75" i="54"/>
  <c r="C76" i="54"/>
  <c r="C77" i="54"/>
  <c r="C78" i="54"/>
  <c r="C79" i="54"/>
  <c r="C80" i="54"/>
  <c r="C81" i="54"/>
  <c r="C82" i="54"/>
  <c r="C83" i="54"/>
  <c r="C84" i="54"/>
  <c r="C85" i="54"/>
  <c r="C65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E56" i="54" s="1"/>
  <c r="C57" i="54"/>
  <c r="C58" i="54"/>
  <c r="C59" i="54"/>
  <c r="C60" i="54"/>
  <c r="C61" i="54"/>
  <c r="C62" i="54"/>
  <c r="C63" i="54"/>
  <c r="C64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16" i="54"/>
  <c r="C17" i="54"/>
  <c r="C18" i="54"/>
  <c r="C19" i="54"/>
  <c r="C20" i="54"/>
  <c r="C15" i="54"/>
  <c r="C11" i="54"/>
  <c r="C12" i="54"/>
  <c r="C13" i="54"/>
  <c r="C14" i="54"/>
  <c r="C10" i="54"/>
  <c r="B74" i="56" l="1"/>
  <c r="B66" i="56"/>
  <c r="E58" i="56"/>
  <c r="B35" i="56"/>
  <c r="E35" i="56" s="1"/>
  <c r="C118" i="54"/>
  <c r="D118" i="54"/>
  <c r="B118" i="54"/>
  <c r="B35" i="54"/>
  <c r="B64" i="54"/>
  <c r="B117" i="54"/>
  <c r="B85" i="54"/>
  <c r="B84" i="54"/>
  <c r="F85" i="54"/>
  <c r="F84" i="54"/>
  <c r="F79" i="54"/>
  <c r="F77" i="54"/>
  <c r="F72" i="54"/>
  <c r="F66" i="54"/>
  <c r="F62" i="54"/>
  <c r="F58" i="54"/>
  <c r="F51" i="54"/>
  <c r="F46" i="54"/>
  <c r="F41" i="54"/>
  <c r="F36" i="54"/>
  <c r="F30" i="54"/>
  <c r="F25" i="54"/>
  <c r="F20" i="54"/>
  <c r="F15" i="54"/>
  <c r="E66" i="56" l="1"/>
  <c r="B75" i="56"/>
  <c r="F10" i="54"/>
  <c r="B72" i="56" l="1"/>
  <c r="E84" i="54"/>
  <c r="C15" i="53"/>
  <c r="C16" i="53"/>
  <c r="C17" i="53"/>
  <c r="C18" i="53"/>
  <c r="C19" i="53"/>
  <c r="C20" i="53"/>
  <c r="C21" i="53"/>
  <c r="C22" i="53"/>
  <c r="C23" i="53"/>
  <c r="C24" i="53"/>
  <c r="C25" i="53"/>
  <c r="C26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2" i="53"/>
  <c r="C53" i="53"/>
  <c r="C54" i="53"/>
  <c r="C55" i="53"/>
  <c r="C56" i="53"/>
  <c r="C57" i="53"/>
  <c r="C58" i="53"/>
  <c r="C59" i="53"/>
  <c r="C60" i="53"/>
  <c r="C61" i="53"/>
  <c r="C62" i="53"/>
  <c r="C63" i="53"/>
  <c r="C64" i="53"/>
  <c r="C65" i="53"/>
  <c r="C66" i="53"/>
  <c r="C67" i="53"/>
  <c r="C68" i="53"/>
  <c r="C69" i="53"/>
  <c r="C70" i="53"/>
  <c r="C71" i="53"/>
  <c r="C72" i="53"/>
  <c r="C73" i="53"/>
  <c r="C74" i="53"/>
  <c r="C75" i="53"/>
  <c r="C76" i="53"/>
  <c r="C77" i="53"/>
  <c r="C78" i="53"/>
  <c r="C79" i="53"/>
  <c r="C80" i="53"/>
  <c r="C81" i="53"/>
  <c r="C82" i="53"/>
  <c r="C83" i="53"/>
  <c r="C84" i="53"/>
  <c r="C85" i="53"/>
  <c r="C11" i="53"/>
  <c r="C12" i="53"/>
  <c r="C13" i="53"/>
  <c r="C14" i="53"/>
  <c r="C10" i="53"/>
  <c r="D97" i="54"/>
  <c r="D86" i="54"/>
  <c r="D85" i="54" s="1"/>
  <c r="D79" i="54"/>
  <c r="B79" i="54"/>
  <c r="B78" i="54"/>
  <c r="D77" i="54"/>
  <c r="G74" i="54"/>
  <c r="G75" i="54" s="1"/>
  <c r="F73" i="54" s="1"/>
  <c r="F74" i="54" s="1"/>
  <c r="D72" i="54"/>
  <c r="G68" i="54"/>
  <c r="G69" i="54" s="1"/>
  <c r="F67" i="54" s="1"/>
  <c r="D66" i="54"/>
  <c r="E65" i="54"/>
  <c r="B63" i="54"/>
  <c r="D62" i="54"/>
  <c r="E61" i="54"/>
  <c r="B60" i="54"/>
  <c r="B59" i="54"/>
  <c r="D58" i="54"/>
  <c r="B57" i="54"/>
  <c r="D56" i="54"/>
  <c r="G53" i="54"/>
  <c r="G54" i="54" s="1"/>
  <c r="G55" i="54" s="1"/>
  <c r="F52" i="54" s="1"/>
  <c r="F53" i="54" s="1"/>
  <c r="D51" i="54"/>
  <c r="B51" i="54"/>
  <c r="G48" i="54"/>
  <c r="G49" i="54" s="1"/>
  <c r="F47" i="54" s="1"/>
  <c r="F48" i="54" s="1"/>
  <c r="D46" i="54"/>
  <c r="B46" i="54"/>
  <c r="G43" i="54"/>
  <c r="G44" i="54" s="1"/>
  <c r="G45" i="54" s="1"/>
  <c r="F42" i="54" s="1"/>
  <c r="D41" i="54"/>
  <c r="B41" i="54"/>
  <c r="E41" i="54" s="1"/>
  <c r="H38" i="54"/>
  <c r="H39" i="54" s="1"/>
  <c r="H40" i="54" s="1"/>
  <c r="G38" i="54"/>
  <c r="G39" i="54" s="1"/>
  <c r="G40" i="54" s="1"/>
  <c r="D36" i="54"/>
  <c r="B36" i="54"/>
  <c r="E36" i="54" s="1"/>
  <c r="F35" i="54"/>
  <c r="D35" i="54"/>
  <c r="G32" i="54"/>
  <c r="G33" i="54" s="1"/>
  <c r="G34" i="54" s="1"/>
  <c r="F31" i="54" s="1"/>
  <c r="D30" i="54"/>
  <c r="B30" i="54"/>
  <c r="G27" i="54"/>
  <c r="G28" i="54" s="1"/>
  <c r="F26" i="54" s="1"/>
  <c r="D25" i="54"/>
  <c r="B25" i="54"/>
  <c r="E25" i="54" s="1"/>
  <c r="G22" i="54"/>
  <c r="G23" i="54" s="1"/>
  <c r="G24" i="54" s="1"/>
  <c r="F21" i="54" s="1"/>
  <c r="F22" i="54" s="1"/>
  <c r="D20" i="54"/>
  <c r="B20" i="54"/>
  <c r="I19" i="54"/>
  <c r="I17" i="54"/>
  <c r="H17" i="54"/>
  <c r="H18" i="54" s="1"/>
  <c r="H19" i="54" s="1"/>
  <c r="G17" i="54"/>
  <c r="G18" i="54" s="1"/>
  <c r="G19" i="54" s="1"/>
  <c r="D15" i="54"/>
  <c r="B15" i="54"/>
  <c r="H12" i="54"/>
  <c r="H13" i="54" s="1"/>
  <c r="H14" i="54" s="1"/>
  <c r="G12" i="54"/>
  <c r="G13" i="54" s="1"/>
  <c r="G14" i="54" s="1"/>
  <c r="D10" i="54"/>
  <c r="D9" i="54" s="1"/>
  <c r="B10" i="54"/>
  <c r="F9" i="54"/>
  <c r="B4" i="54"/>
  <c r="D118" i="53"/>
  <c r="C118" i="53"/>
  <c r="B118" i="53"/>
  <c r="D97" i="53"/>
  <c r="D85" i="53" s="1"/>
  <c r="D86" i="53"/>
  <c r="E84" i="53"/>
  <c r="F79" i="53"/>
  <c r="D79" i="53"/>
  <c r="D64" i="53" s="1"/>
  <c r="B79" i="53"/>
  <c r="F77" i="53"/>
  <c r="B78" i="53" s="1"/>
  <c r="D77" i="53"/>
  <c r="G74" i="53"/>
  <c r="G75" i="53" s="1"/>
  <c r="F73" i="53" s="1"/>
  <c r="F72" i="53"/>
  <c r="D72" i="53"/>
  <c r="G68" i="53"/>
  <c r="G69" i="53" s="1"/>
  <c r="F67" i="53" s="1"/>
  <c r="F66" i="53"/>
  <c r="D66" i="53"/>
  <c r="E65" i="53"/>
  <c r="B63" i="53"/>
  <c r="F62" i="53"/>
  <c r="D62" i="53"/>
  <c r="E61" i="53"/>
  <c r="B60" i="53"/>
  <c r="E60" i="53" s="1"/>
  <c r="B59" i="53"/>
  <c r="F58" i="53"/>
  <c r="D58" i="53"/>
  <c r="F56" i="53"/>
  <c r="B57" i="53" s="1"/>
  <c r="D56" i="53"/>
  <c r="G53" i="53"/>
  <c r="G54" i="53" s="1"/>
  <c r="G55" i="53" s="1"/>
  <c r="F52" i="53" s="1"/>
  <c r="F53" i="53" s="1"/>
  <c r="F51" i="53"/>
  <c r="F54" i="53" s="1"/>
  <c r="D51" i="53"/>
  <c r="E51" i="53"/>
  <c r="B51" i="53"/>
  <c r="G48" i="53"/>
  <c r="G49" i="53" s="1"/>
  <c r="F47" i="53" s="1"/>
  <c r="F46" i="53"/>
  <c r="D46" i="53"/>
  <c r="E46" i="53"/>
  <c r="B46" i="53"/>
  <c r="G44" i="53"/>
  <c r="G45" i="53" s="1"/>
  <c r="F42" i="53" s="1"/>
  <c r="F43" i="53" s="1"/>
  <c r="G43" i="53"/>
  <c r="F41" i="53"/>
  <c r="D41" i="53"/>
  <c r="B41" i="53"/>
  <c r="E41" i="53" s="1"/>
  <c r="H38" i="53"/>
  <c r="H39" i="53" s="1"/>
  <c r="H40" i="53" s="1"/>
  <c r="G38" i="53"/>
  <c r="G39" i="53" s="1"/>
  <c r="G40" i="53" s="1"/>
  <c r="F36" i="53"/>
  <c r="D36" i="53"/>
  <c r="D35" i="53" s="1"/>
  <c r="B36" i="53"/>
  <c r="F35" i="53"/>
  <c r="G33" i="53"/>
  <c r="G34" i="53" s="1"/>
  <c r="F31" i="53" s="1"/>
  <c r="F32" i="53" s="1"/>
  <c r="G32" i="53"/>
  <c r="F30" i="53"/>
  <c r="D30" i="53"/>
  <c r="B30" i="53"/>
  <c r="E30" i="53" s="1"/>
  <c r="G28" i="53"/>
  <c r="G27" i="53"/>
  <c r="F26" i="53"/>
  <c r="F27" i="53" s="1"/>
  <c r="F25" i="53"/>
  <c r="F28" i="53" s="1"/>
  <c r="D25" i="53"/>
  <c r="B25" i="53"/>
  <c r="E25" i="53" s="1"/>
  <c r="G22" i="53"/>
  <c r="G23" i="53" s="1"/>
  <c r="G24" i="53" s="1"/>
  <c r="F21" i="53" s="1"/>
  <c r="F20" i="53"/>
  <c r="D20" i="53"/>
  <c r="E20" i="53"/>
  <c r="B20" i="53"/>
  <c r="I19" i="53"/>
  <c r="H18" i="53"/>
  <c r="H19" i="53" s="1"/>
  <c r="I17" i="53"/>
  <c r="H17" i="53"/>
  <c r="G17" i="53"/>
  <c r="G18" i="53" s="1"/>
  <c r="G19" i="53" s="1"/>
  <c r="F16" i="53" s="1"/>
  <c r="F15" i="53"/>
  <c r="D15" i="53"/>
  <c r="E15" i="53"/>
  <c r="B15" i="53"/>
  <c r="H12" i="53"/>
  <c r="H13" i="53" s="1"/>
  <c r="H14" i="53" s="1"/>
  <c r="G12" i="53"/>
  <c r="G13" i="53" s="1"/>
  <c r="G14" i="53" s="1"/>
  <c r="F11" i="53" s="1"/>
  <c r="F12" i="53" s="1"/>
  <c r="F10" i="53"/>
  <c r="D10" i="53"/>
  <c r="C9" i="53"/>
  <c r="E9" i="53" s="1"/>
  <c r="B10" i="53"/>
  <c r="F9" i="53"/>
  <c r="D9" i="53"/>
  <c r="B9" i="53"/>
  <c r="B4" i="53"/>
  <c r="D20" i="51"/>
  <c r="D9" i="51"/>
  <c r="D5" i="51"/>
  <c r="D6" i="51"/>
  <c r="D7" i="51"/>
  <c r="D8" i="51"/>
  <c r="D10" i="51"/>
  <c r="D11" i="51"/>
  <c r="D12" i="51"/>
  <c r="D13" i="51"/>
  <c r="D14" i="51"/>
  <c r="D15" i="51"/>
  <c r="D16" i="51"/>
  <c r="D17" i="51"/>
  <c r="D18" i="51"/>
  <c r="D19" i="51"/>
  <c r="D21" i="51"/>
  <c r="D22" i="51"/>
  <c r="D23" i="51"/>
  <c r="D24" i="51"/>
  <c r="D25" i="51"/>
  <c r="D26" i="51"/>
  <c r="D27" i="51"/>
  <c r="D28" i="51"/>
  <c r="D29" i="51"/>
  <c r="D30" i="51"/>
  <c r="D31" i="51"/>
  <c r="D32" i="51"/>
  <c r="D4" i="51"/>
  <c r="D3" i="51" s="1"/>
  <c r="C22" i="51"/>
  <c r="C23" i="51"/>
  <c r="C24" i="51"/>
  <c r="C25" i="51"/>
  <c r="C26" i="51"/>
  <c r="C27" i="51"/>
  <c r="C28" i="51"/>
  <c r="C20" i="51"/>
  <c r="C21" i="51"/>
  <c r="C11" i="51"/>
  <c r="C12" i="51"/>
  <c r="C13" i="51"/>
  <c r="C14" i="51"/>
  <c r="C15" i="51"/>
  <c r="C16" i="51"/>
  <c r="C17" i="51"/>
  <c r="C18" i="51"/>
  <c r="C19" i="51"/>
  <c r="C9" i="51"/>
  <c r="C10" i="51"/>
  <c r="C5" i="51"/>
  <c r="C6" i="51"/>
  <c r="C7" i="51"/>
  <c r="C8" i="51"/>
  <c r="C4" i="51"/>
  <c r="C3" i="51" s="1"/>
  <c r="B32" i="51"/>
  <c r="B20" i="51"/>
  <c r="B9" i="51"/>
  <c r="B3" i="51"/>
  <c r="C117" i="53" l="1"/>
  <c r="C119" i="53" s="1"/>
  <c r="E79" i="53"/>
  <c r="C85" i="56"/>
  <c r="E85" i="56" s="1"/>
  <c r="E84" i="56"/>
  <c r="E72" i="56"/>
  <c r="B64" i="56"/>
  <c r="B120" i="56" s="1"/>
  <c r="D64" i="54"/>
  <c r="E30" i="54"/>
  <c r="B56" i="54"/>
  <c r="E79" i="54"/>
  <c r="E60" i="54"/>
  <c r="F54" i="54"/>
  <c r="E51" i="54"/>
  <c r="F49" i="54"/>
  <c r="E46" i="54"/>
  <c r="E20" i="54"/>
  <c r="E15" i="54"/>
  <c r="F23" i="54"/>
  <c r="F11" i="54"/>
  <c r="F12" i="54" s="1"/>
  <c r="F32" i="54"/>
  <c r="F33" i="54" s="1"/>
  <c r="B58" i="54"/>
  <c r="B62" i="54"/>
  <c r="B67" i="54"/>
  <c r="F68" i="54"/>
  <c r="B68" i="54" s="1"/>
  <c r="B77" i="54"/>
  <c r="D117" i="54"/>
  <c r="E10" i="54"/>
  <c r="F16" i="54"/>
  <c r="F17" i="54" s="1"/>
  <c r="F27" i="54"/>
  <c r="F28" i="54" s="1"/>
  <c r="F37" i="54"/>
  <c r="F38" i="54" s="1"/>
  <c r="F43" i="54"/>
  <c r="F44" i="54" s="1"/>
  <c r="F69" i="54"/>
  <c r="B69" i="54" s="1"/>
  <c r="B73" i="54"/>
  <c r="F75" i="54"/>
  <c r="B9" i="54"/>
  <c r="F17" i="53"/>
  <c r="F18" i="53"/>
  <c r="F33" i="53"/>
  <c r="E36" i="53"/>
  <c r="F48" i="53"/>
  <c r="F49" i="53" s="1"/>
  <c r="B73" i="53"/>
  <c r="F74" i="53"/>
  <c r="D117" i="53"/>
  <c r="F13" i="53"/>
  <c r="F22" i="53"/>
  <c r="F23" i="53" s="1"/>
  <c r="F37" i="53"/>
  <c r="F38" i="53" s="1"/>
  <c r="F44" i="53"/>
  <c r="B56" i="53"/>
  <c r="E56" i="53" s="1"/>
  <c r="B67" i="53"/>
  <c r="F68" i="53"/>
  <c r="B68" i="53" s="1"/>
  <c r="F75" i="53"/>
  <c r="B77" i="53"/>
  <c r="E77" i="53" s="1"/>
  <c r="E10" i="53"/>
  <c r="B58" i="53"/>
  <c r="E58" i="53" s="1"/>
  <c r="B62" i="53"/>
  <c r="E62" i="53" s="1"/>
  <c r="C32" i="51"/>
  <c r="C33" i="48"/>
  <c r="C29" i="48"/>
  <c r="C25" i="48"/>
  <c r="C23" i="48" s="1"/>
  <c r="C19" i="48"/>
  <c r="C13" i="48"/>
  <c r="C10" i="48"/>
  <c r="C6" i="48"/>
  <c r="E120" i="56" l="1"/>
  <c r="B122" i="56"/>
  <c r="E77" i="54"/>
  <c r="F13" i="54"/>
  <c r="E62" i="54"/>
  <c r="C9" i="54"/>
  <c r="E9" i="54" s="1"/>
  <c r="F39" i="54"/>
  <c r="E85" i="54"/>
  <c r="B74" i="54"/>
  <c r="B66" i="54"/>
  <c r="F18" i="54"/>
  <c r="E85" i="53"/>
  <c r="B74" i="53"/>
  <c r="F39" i="53"/>
  <c r="B35" i="53"/>
  <c r="B66" i="53"/>
  <c r="F69" i="53"/>
  <c r="B69" i="53" s="1"/>
  <c r="E35" i="53"/>
  <c r="B68" i="52"/>
  <c r="B69" i="52"/>
  <c r="B67" i="52"/>
  <c r="E64" i="56" l="1"/>
  <c r="B75" i="54"/>
  <c r="E58" i="54"/>
  <c r="E35" i="54"/>
  <c r="B75" i="53"/>
  <c r="B68" i="50"/>
  <c r="B69" i="50"/>
  <c r="B67" i="50"/>
  <c r="B72" i="54" l="1"/>
  <c r="E66" i="54"/>
  <c r="B72" i="53"/>
  <c r="E66" i="53"/>
  <c r="G74" i="50"/>
  <c r="G75" i="50" s="1"/>
  <c r="G68" i="50"/>
  <c r="G69" i="50" s="1"/>
  <c r="G54" i="50"/>
  <c r="G55" i="50" s="1"/>
  <c r="G53" i="50"/>
  <c r="G49" i="50"/>
  <c r="G48" i="50"/>
  <c r="G43" i="50"/>
  <c r="G44" i="50" s="1"/>
  <c r="G45" i="50" s="1"/>
  <c r="H38" i="50"/>
  <c r="H39" i="50" s="1"/>
  <c r="H40" i="50" s="1"/>
  <c r="G38" i="50"/>
  <c r="G39" i="50" s="1"/>
  <c r="G40" i="50" s="1"/>
  <c r="G33" i="50"/>
  <c r="G34" i="50" s="1"/>
  <c r="G32" i="50"/>
  <c r="G28" i="50"/>
  <c r="G27" i="50"/>
  <c r="G22" i="50"/>
  <c r="G23" i="50" s="1"/>
  <c r="G24" i="50" s="1"/>
  <c r="I19" i="50"/>
  <c r="I17" i="50"/>
  <c r="H17" i="50"/>
  <c r="H18" i="50" s="1"/>
  <c r="H19" i="50" s="1"/>
  <c r="G17" i="50"/>
  <c r="G18" i="50" s="1"/>
  <c r="G19" i="50" s="1"/>
  <c r="H12" i="50"/>
  <c r="H13" i="50" s="1"/>
  <c r="H14" i="50" s="1"/>
  <c r="G12" i="50"/>
  <c r="G13" i="50" s="1"/>
  <c r="G14" i="50" s="1"/>
  <c r="G48" i="52"/>
  <c r="G43" i="52"/>
  <c r="H38" i="52"/>
  <c r="G32" i="52"/>
  <c r="B64" i="53" l="1"/>
  <c r="B117" i="53" s="1"/>
  <c r="B119" i="53" s="1"/>
  <c r="B29" i="48"/>
  <c r="F23" i="34"/>
  <c r="F9" i="34"/>
  <c r="G27" i="52"/>
  <c r="G22" i="52"/>
  <c r="I17" i="52"/>
  <c r="H17" i="52"/>
  <c r="G17" i="52"/>
  <c r="H12" i="52"/>
  <c r="G12" i="52"/>
  <c r="B119" i="54" l="1"/>
  <c r="E72" i="54"/>
  <c r="E72" i="53"/>
  <c r="G74" i="52"/>
  <c r="E64" i="54" l="1"/>
  <c r="C117" i="54"/>
  <c r="E64" i="53"/>
  <c r="F52" i="50"/>
  <c r="F53" i="50" s="1"/>
  <c r="F47" i="50"/>
  <c r="F48" i="50" s="1"/>
  <c r="F42" i="50"/>
  <c r="F43" i="50" s="1"/>
  <c r="E117" i="54" l="1"/>
  <c r="E117" i="53"/>
  <c r="F37" i="50"/>
  <c r="F38" i="50" s="1"/>
  <c r="F31" i="50" l="1"/>
  <c r="F32" i="50" s="1"/>
  <c r="F26" i="50"/>
  <c r="F27" i="50" s="1"/>
  <c r="F21" i="50"/>
  <c r="F22" i="50" s="1"/>
  <c r="F16" i="50"/>
  <c r="F17" i="50" s="1"/>
  <c r="F11" i="50"/>
  <c r="F12" i="50" s="1"/>
  <c r="D35" i="50" l="1"/>
  <c r="D64" i="50"/>
  <c r="C11" i="50"/>
  <c r="C12" i="50"/>
  <c r="C13" i="50"/>
  <c r="C14" i="50"/>
  <c r="C16" i="50"/>
  <c r="C17" i="50"/>
  <c r="C18" i="50"/>
  <c r="C19" i="50"/>
  <c r="C21" i="50"/>
  <c r="C22" i="50"/>
  <c r="C23" i="50"/>
  <c r="C24" i="50"/>
  <c r="C26" i="50"/>
  <c r="C27" i="50"/>
  <c r="C28" i="50"/>
  <c r="C29" i="50"/>
  <c r="C31" i="50"/>
  <c r="C32" i="50"/>
  <c r="C33" i="50"/>
  <c r="C34" i="50"/>
  <c r="C37" i="50"/>
  <c r="C38" i="50"/>
  <c r="C39" i="50"/>
  <c r="C40" i="50"/>
  <c r="C42" i="50"/>
  <c r="C43" i="50"/>
  <c r="C44" i="50"/>
  <c r="C45" i="50"/>
  <c r="C47" i="50"/>
  <c r="C48" i="50"/>
  <c r="C49" i="50"/>
  <c r="C50" i="50"/>
  <c r="C52" i="50"/>
  <c r="C53" i="50"/>
  <c r="C54" i="50"/>
  <c r="C55" i="50"/>
  <c r="C60" i="50"/>
  <c r="C61" i="50"/>
  <c r="C65" i="50"/>
  <c r="C67" i="50"/>
  <c r="C68" i="50"/>
  <c r="C70" i="50"/>
  <c r="C71" i="50"/>
  <c r="C76" i="50"/>
  <c r="C80" i="50"/>
  <c r="C81" i="50"/>
  <c r="C82" i="50"/>
  <c r="C83" i="50"/>
  <c r="C84" i="50"/>
  <c r="H39" i="52" l="1"/>
  <c r="B31" i="34"/>
  <c r="D31" i="34"/>
  <c r="E22" i="34" s="1"/>
  <c r="F73" i="50" l="1"/>
  <c r="F67" i="50"/>
  <c r="G68" i="52"/>
  <c r="G69" i="52" s="1"/>
  <c r="G53" i="52"/>
  <c r="G38" i="52"/>
  <c r="F68" i="50" l="1"/>
  <c r="B73" i="50"/>
  <c r="C73" i="50" s="1"/>
  <c r="F74" i="50"/>
  <c r="G23" i="52" l="1"/>
  <c r="G24" i="52" s="1"/>
  <c r="F21" i="52" s="1"/>
  <c r="F22" i="52" s="1"/>
  <c r="G18" i="52"/>
  <c r="G19" i="52" s="1"/>
  <c r="G13" i="52"/>
  <c r="G14" i="52" s="1"/>
  <c r="G75" i="52"/>
  <c r="F73" i="52" s="1"/>
  <c r="F67" i="52"/>
  <c r="G54" i="52"/>
  <c r="G55" i="52" s="1"/>
  <c r="F52" i="52" s="1"/>
  <c r="F53" i="52" s="1"/>
  <c r="G49" i="52"/>
  <c r="F47" i="52" s="1"/>
  <c r="F48" i="52" s="1"/>
  <c r="G44" i="52"/>
  <c r="G45" i="52" s="1"/>
  <c r="F42" i="52" s="1"/>
  <c r="F43" i="52" s="1"/>
  <c r="H40" i="52"/>
  <c r="G39" i="52"/>
  <c r="G40" i="52" s="1"/>
  <c r="G33" i="52"/>
  <c r="G34" i="52" s="1"/>
  <c r="F31" i="52" s="1"/>
  <c r="F32" i="52" s="1"/>
  <c r="G28" i="52"/>
  <c r="F26" i="52" s="1"/>
  <c r="F27" i="52" s="1"/>
  <c r="I19" i="52"/>
  <c r="H18" i="52"/>
  <c r="H19" i="52" s="1"/>
  <c r="H13" i="52"/>
  <c r="H14" i="52" s="1"/>
  <c r="F37" i="52" l="1"/>
  <c r="F38" i="52" s="1"/>
  <c r="F16" i="52"/>
  <c r="F17" i="52" s="1"/>
  <c r="B73" i="52"/>
  <c r="F74" i="52"/>
  <c r="F68" i="52"/>
  <c r="F11" i="52"/>
  <c r="F12" i="52" s="1"/>
  <c r="D2" i="34"/>
  <c r="B2" i="34"/>
  <c r="C119" i="52" l="1"/>
  <c r="B119" i="52"/>
  <c r="D119" i="52"/>
  <c r="D99" i="52" s="1"/>
  <c r="E84" i="52"/>
  <c r="C84" i="52"/>
  <c r="D79" i="52"/>
  <c r="D77" i="52"/>
  <c r="B74" i="52"/>
  <c r="C74" i="52" s="1"/>
  <c r="C73" i="52"/>
  <c r="D72" i="52"/>
  <c r="C71" i="52"/>
  <c r="C67" i="52"/>
  <c r="D66" i="52"/>
  <c r="C65" i="52"/>
  <c r="E65" i="52" s="1"/>
  <c r="D64" i="52"/>
  <c r="D62" i="52"/>
  <c r="E61" i="52"/>
  <c r="C61" i="52"/>
  <c r="B60" i="52"/>
  <c r="E60" i="52" s="1"/>
  <c r="D58" i="52"/>
  <c r="D56" i="52"/>
  <c r="D51" i="52"/>
  <c r="D46" i="52"/>
  <c r="D41" i="52"/>
  <c r="D36" i="52"/>
  <c r="D35" i="52"/>
  <c r="D30" i="52"/>
  <c r="D25" i="52"/>
  <c r="D20" i="52"/>
  <c r="D15" i="52"/>
  <c r="D10" i="52"/>
  <c r="D9" i="52" s="1"/>
  <c r="B4" i="52"/>
  <c r="D88" i="52" l="1"/>
  <c r="D108" i="52"/>
  <c r="D87" i="52"/>
  <c r="D96" i="52"/>
  <c r="D94" i="52"/>
  <c r="D92" i="52"/>
  <c r="D90" i="52"/>
  <c r="D117" i="52"/>
  <c r="D115" i="52"/>
  <c r="D113" i="52"/>
  <c r="D111" i="52"/>
  <c r="D109" i="52"/>
  <c r="D106" i="52"/>
  <c r="D104" i="52"/>
  <c r="D102" i="52"/>
  <c r="D100" i="52"/>
  <c r="D95" i="52"/>
  <c r="D93" i="52"/>
  <c r="D91" i="52"/>
  <c r="D89" i="52"/>
  <c r="D98" i="52"/>
  <c r="D116" i="52"/>
  <c r="D114" i="52"/>
  <c r="D112" i="52"/>
  <c r="D110" i="52"/>
  <c r="D107" i="52"/>
  <c r="D105" i="52"/>
  <c r="D103" i="52"/>
  <c r="D101" i="52"/>
  <c r="C60" i="52"/>
  <c r="C68" i="52"/>
  <c r="E23" i="34"/>
  <c r="F66" i="52" s="1"/>
  <c r="F69" i="52" s="1"/>
  <c r="E24" i="34"/>
  <c r="E25" i="34"/>
  <c r="F72" i="52" s="1"/>
  <c r="F75" i="52" s="1"/>
  <c r="E26" i="34"/>
  <c r="F77" i="52" s="1"/>
  <c r="B78" i="52" s="1"/>
  <c r="B77" i="52" s="1"/>
  <c r="E27" i="34"/>
  <c r="F79" i="52" s="1"/>
  <c r="B79" i="52" s="1"/>
  <c r="C79" i="52" s="1"/>
  <c r="E79" i="52" s="1"/>
  <c r="E28" i="34"/>
  <c r="E29" i="34"/>
  <c r="E14" i="34"/>
  <c r="F41" i="52" s="1"/>
  <c r="E15" i="34"/>
  <c r="F46" i="52" s="1"/>
  <c r="E16" i="34"/>
  <c r="F51" i="52" s="1"/>
  <c r="E17" i="34"/>
  <c r="F56" i="52" s="1"/>
  <c r="B57" i="52" s="1"/>
  <c r="C57" i="52" s="1"/>
  <c r="E18" i="34"/>
  <c r="E19" i="34"/>
  <c r="E20" i="34"/>
  <c r="F62" i="52" s="1"/>
  <c r="B63" i="52" s="1"/>
  <c r="B62" i="52" s="1"/>
  <c r="C62" i="52" s="1"/>
  <c r="E62" i="52" s="1"/>
  <c r="E13" i="34"/>
  <c r="E7" i="34"/>
  <c r="F15" i="52" s="1"/>
  <c r="E8" i="34"/>
  <c r="F20" i="52" s="1"/>
  <c r="E9" i="34"/>
  <c r="F25" i="52" s="1"/>
  <c r="E10" i="34"/>
  <c r="E6" i="34"/>
  <c r="C28" i="34"/>
  <c r="D30" i="34"/>
  <c r="D32" i="34" s="1"/>
  <c r="D21" i="34"/>
  <c r="D12" i="34"/>
  <c r="D5" i="34"/>
  <c r="B46" i="52" l="1"/>
  <c r="C46" i="52" s="1"/>
  <c r="E46" i="52" s="1"/>
  <c r="F49" i="52"/>
  <c r="B51" i="52"/>
  <c r="C51" i="52" s="1"/>
  <c r="E51" i="52" s="1"/>
  <c r="F54" i="52"/>
  <c r="B41" i="52"/>
  <c r="C41" i="52" s="1"/>
  <c r="E41" i="52" s="1"/>
  <c r="F44" i="52"/>
  <c r="B20" i="52"/>
  <c r="C20" i="52" s="1"/>
  <c r="E20" i="52" s="1"/>
  <c r="F23" i="52"/>
  <c r="B25" i="52"/>
  <c r="C25" i="52" s="1"/>
  <c r="E25" i="52" s="1"/>
  <c r="F28" i="52"/>
  <c r="B15" i="52"/>
  <c r="C15" i="52" s="1"/>
  <c r="E15" i="52" s="1"/>
  <c r="F18" i="52"/>
  <c r="E21" i="34"/>
  <c r="F58" i="52"/>
  <c r="B59" i="52" s="1"/>
  <c r="B58" i="52" s="1"/>
  <c r="C58" i="52" s="1"/>
  <c r="E58" i="52" s="1"/>
  <c r="D97" i="52"/>
  <c r="F85" i="52"/>
  <c r="E30" i="34"/>
  <c r="C78" i="52"/>
  <c r="B75" i="52"/>
  <c r="B56" i="52"/>
  <c r="C56" i="52" s="1"/>
  <c r="E12" i="34"/>
  <c r="F35" i="52" s="1"/>
  <c r="F36" i="52"/>
  <c r="E5" i="34"/>
  <c r="F10" i="52"/>
  <c r="D86" i="52"/>
  <c r="D85" i="52" s="1"/>
  <c r="D118" i="52" s="1"/>
  <c r="C77" i="52"/>
  <c r="E77" i="52" s="1"/>
  <c r="D118" i="50"/>
  <c r="C118" i="50"/>
  <c r="B118" i="50"/>
  <c r="C6" i="34"/>
  <c r="B36" i="52" l="1"/>
  <c r="C36" i="52" s="1"/>
  <c r="E36" i="52" s="1"/>
  <c r="F39" i="52"/>
  <c r="B66" i="52"/>
  <c r="C69" i="52"/>
  <c r="C75" i="52"/>
  <c r="B72" i="52"/>
  <c r="C72" i="52" s="1"/>
  <c r="E72" i="52" s="1"/>
  <c r="B35" i="52"/>
  <c r="F13" i="52"/>
  <c r="B10" i="52"/>
  <c r="C10" i="52" s="1"/>
  <c r="E10" i="52" s="1"/>
  <c r="E56" i="52"/>
  <c r="D120" i="52"/>
  <c r="B74" i="50"/>
  <c r="C74" i="50" s="1"/>
  <c r="C8" i="34"/>
  <c r="C35" i="52" l="1"/>
  <c r="E35" i="52" s="1"/>
  <c r="B64" i="52"/>
  <c r="C66" i="52"/>
  <c r="F20" i="50"/>
  <c r="B4" i="50"/>
  <c r="B20" i="50" l="1"/>
  <c r="C20" i="50" s="1"/>
  <c r="F23" i="50"/>
  <c r="E66" i="52"/>
  <c r="C64" i="52"/>
  <c r="E64" i="52" s="1"/>
  <c r="C7" i="34"/>
  <c r="F15" i="50" s="1"/>
  <c r="C9" i="34"/>
  <c r="F25" i="50" s="1"/>
  <c r="C10" i="34"/>
  <c r="C11" i="34"/>
  <c r="C13" i="34"/>
  <c r="F36" i="50" s="1"/>
  <c r="C14" i="34"/>
  <c r="F41" i="50" s="1"/>
  <c r="C15" i="34"/>
  <c r="F46" i="50" s="1"/>
  <c r="C16" i="34"/>
  <c r="F51" i="50" s="1"/>
  <c r="C17" i="34"/>
  <c r="F56" i="50" s="1"/>
  <c r="B57" i="50" s="1"/>
  <c r="C57" i="50" s="1"/>
  <c r="C18" i="34"/>
  <c r="C19" i="34"/>
  <c r="C20" i="34"/>
  <c r="F62" i="50" s="1"/>
  <c r="B63" i="50" s="1"/>
  <c r="C63" i="50" s="1"/>
  <c r="C22" i="34"/>
  <c r="C23" i="34"/>
  <c r="F66" i="50" s="1"/>
  <c r="F69" i="50" s="1"/>
  <c r="C24" i="34"/>
  <c r="C25" i="34"/>
  <c r="F72" i="50" s="1"/>
  <c r="C26" i="34"/>
  <c r="F77" i="50" s="1"/>
  <c r="B78" i="50" s="1"/>
  <c r="C78" i="50" s="1"/>
  <c r="C27" i="34"/>
  <c r="F79" i="50" s="1"/>
  <c r="B79" i="50" s="1"/>
  <c r="C79" i="50" s="1"/>
  <c r="C29" i="34"/>
  <c r="F10" i="50"/>
  <c r="B30" i="34"/>
  <c r="B32" i="34" s="1"/>
  <c r="B21" i="34"/>
  <c r="B12" i="34"/>
  <c r="B5" i="34"/>
  <c r="B46" i="50" l="1"/>
  <c r="C46" i="50" s="1"/>
  <c r="F49" i="50"/>
  <c r="B36" i="50"/>
  <c r="C36" i="50" s="1"/>
  <c r="F39" i="50"/>
  <c r="B51" i="50"/>
  <c r="C51" i="50" s="1"/>
  <c r="F54" i="50"/>
  <c r="B41" i="50"/>
  <c r="C41" i="50" s="1"/>
  <c r="F44" i="50"/>
  <c r="B10" i="50"/>
  <c r="C10" i="50" s="1"/>
  <c r="F13" i="50"/>
  <c r="B15" i="50"/>
  <c r="C15" i="50" s="1"/>
  <c r="F18" i="50"/>
  <c r="B25" i="50"/>
  <c r="C25" i="50" s="1"/>
  <c r="F28" i="50"/>
  <c r="B85" i="50"/>
  <c r="C85" i="50" s="1"/>
  <c r="B85" i="52"/>
  <c r="C85" i="52" s="1"/>
  <c r="E85" i="52" s="1"/>
  <c r="B75" i="50"/>
  <c r="C75" i="50" s="1"/>
  <c r="F75" i="50"/>
  <c r="C69" i="50"/>
  <c r="F30" i="50"/>
  <c r="F30" i="52"/>
  <c r="C21" i="34"/>
  <c r="F58" i="50"/>
  <c r="B59" i="50" s="1"/>
  <c r="C59" i="50" s="1"/>
  <c r="C12" i="34"/>
  <c r="F35" i="50" s="1"/>
  <c r="B56" i="50"/>
  <c r="C56" i="50" s="1"/>
  <c r="C5" i="34"/>
  <c r="C30" i="34"/>
  <c r="D97" i="50"/>
  <c r="E84" i="50"/>
  <c r="D79" i="50"/>
  <c r="D77" i="50"/>
  <c r="B77" i="50"/>
  <c r="C77" i="50" s="1"/>
  <c r="D72" i="50"/>
  <c r="D66" i="50"/>
  <c r="E65" i="50"/>
  <c r="D62" i="50"/>
  <c r="B62" i="50"/>
  <c r="C62" i="50" s="1"/>
  <c r="E61" i="50"/>
  <c r="B60" i="50"/>
  <c r="E60" i="50" s="1"/>
  <c r="D58" i="50"/>
  <c r="D56" i="50"/>
  <c r="D51" i="50"/>
  <c r="E51" i="50"/>
  <c r="D46" i="50"/>
  <c r="D41" i="50"/>
  <c r="D36" i="50"/>
  <c r="D30" i="50"/>
  <c r="D25" i="50"/>
  <c r="D20" i="50"/>
  <c r="D15" i="50"/>
  <c r="D10" i="50"/>
  <c r="D9" i="50" s="1"/>
  <c r="B30" i="52" l="1"/>
  <c r="B9" i="52" s="1"/>
  <c r="B118" i="52" s="1"/>
  <c r="B120" i="52" s="1"/>
  <c r="F33" i="52"/>
  <c r="B30" i="50"/>
  <c r="C30" i="50" s="1"/>
  <c r="C9" i="50" s="1"/>
  <c r="F33" i="50"/>
  <c r="F9" i="50"/>
  <c r="F9" i="52"/>
  <c r="C30" i="52"/>
  <c r="E41" i="50"/>
  <c r="D86" i="50"/>
  <c r="D85" i="50" s="1"/>
  <c r="E46" i="50"/>
  <c r="E77" i="50"/>
  <c r="E15" i="50"/>
  <c r="B72" i="50"/>
  <c r="C72" i="50" s="1"/>
  <c r="E56" i="50"/>
  <c r="E62" i="50"/>
  <c r="B58" i="50"/>
  <c r="B35" i="50" l="1"/>
  <c r="C58" i="50"/>
  <c r="C35" i="50" s="1"/>
  <c r="E30" i="52"/>
  <c r="C9" i="52"/>
  <c r="E72" i="50"/>
  <c r="D117" i="50"/>
  <c r="E85" i="50"/>
  <c r="E36" i="50"/>
  <c r="E30" i="50"/>
  <c r="E25" i="50"/>
  <c r="B66" i="50"/>
  <c r="C66" i="50" s="1"/>
  <c r="C64" i="50" s="1"/>
  <c r="E79" i="50"/>
  <c r="E58" i="50" l="1"/>
  <c r="E9" i="52"/>
  <c r="C118" i="52"/>
  <c r="B9" i="50"/>
  <c r="E20" i="50"/>
  <c r="E35" i="50"/>
  <c r="B64" i="50"/>
  <c r="B117" i="50" l="1"/>
  <c r="B119" i="50" s="1"/>
  <c r="E118" i="52"/>
  <c r="C120" i="52"/>
  <c r="E66" i="50"/>
  <c r="E10" i="50"/>
  <c r="E9" i="50"/>
  <c r="E64" i="50" l="1"/>
  <c r="C117" i="50"/>
  <c r="C119" i="50" s="1"/>
  <c r="E117" i="50" l="1"/>
</calcChain>
</file>

<file path=xl/sharedStrings.xml><?xml version="1.0" encoding="utf-8"?>
<sst xmlns="http://schemas.openxmlformats.org/spreadsheetml/2006/main" count="863" uniqueCount="193">
  <si>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</si>
  <si>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</si>
  <si>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</si>
  <si>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</si>
  <si>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</si>
  <si>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</si>
  <si>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</si>
  <si>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</si>
  <si>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</si>
  <si>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</si>
  <si>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</si>
  <si>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</si>
  <si>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</si>
  <si>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</si>
  <si>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</si>
  <si>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</si>
  <si>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</si>
  <si>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</si>
  <si>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</si>
  <si>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</si>
  <si>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</si>
  <si>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</si>
  <si>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</si>
  <si>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</si>
  <si>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</si>
  <si>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</si>
  <si>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</si>
  <si>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</si>
  <si>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</si>
  <si>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</si>
  <si>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</si>
  <si>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</si>
  <si>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</si>
  <si>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Старостюк И.В.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</si>
  <si>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</si>
  <si>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</si>
  <si>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</si>
  <si>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</si>
  <si>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</si>
  <si>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</si>
  <si>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</si>
  <si>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</si>
  <si>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</si>
  <si>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</si>
  <si>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</si>
  <si>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</si>
  <si>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</si>
  <si>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</si>
  <si>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</si>
  <si>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</si>
  <si>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</si>
  <si>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</si>
  <si>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</si>
  <si>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</si>
  <si>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</si>
  <si>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</si>
  <si>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</si>
  <si>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</si>
  <si>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</si>
  <si>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</si>
  <si>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</si>
  <si>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горюче-смазочные материалы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</si>
  <si>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</si>
  <si>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</si>
  <si>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</si>
  <si>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</si>
  <si>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Расходы по организации работ</t>
  </si>
  <si>
    <t>износ и списание МБП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</si>
  <si>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</si>
  <si>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</si>
  <si>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</si>
  <si>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</si>
  <si>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</si>
  <si>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</si>
  <si>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</si>
  <si>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</si>
  <si>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Содержание компьютерной техники</t>
  </si>
  <si>
    <t>Командировки и перемещения</t>
  </si>
  <si>
    <t>охрана труда и техника безопасности</t>
  </si>
  <si>
    <t>содержание пожарной и сторожевой охраны, производственных мастерских</t>
  </si>
  <si>
    <t>IV и V Расходы на управление жилищным фондом и  Общие эксплуатационные расходы</t>
  </si>
  <si>
    <t>Калькуляция себестоимости услуг по содержанию домов, сооружений и придомовых территорий</t>
  </si>
  <si>
    <t xml:space="preserve">Тариф на услуги по содержанию домов, сооружений и придомовой территорий  </t>
  </si>
  <si>
    <t xml:space="preserve">Материалы </t>
  </si>
  <si>
    <t xml:space="preserve">Договор на обслуживание лифтов </t>
  </si>
  <si>
    <r>
      <t xml:space="preserve">Заработная плата работников АУП </t>
    </r>
    <r>
      <rPr>
        <sz val="10"/>
        <color indexed="8"/>
        <rFont val="Times New Roman"/>
        <family val="1"/>
        <charset val="204"/>
      </rPr>
      <t>(начальник, бухгалтера, секретарь и пр.)</t>
    </r>
  </si>
  <si>
    <r>
      <t xml:space="preserve">Заработная плата работников общего производства </t>
    </r>
    <r>
      <rPr>
        <sz val="11"/>
        <color indexed="8"/>
        <rFont val="Times New Roman"/>
        <family val="1"/>
        <charset val="204"/>
      </rPr>
      <t>(инженеры, кладовщики, водители, мастера,  и пр.)</t>
    </r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</si>
  <si>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</si>
  <si>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</si>
  <si>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</si>
  <si>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</si>
  <si>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</si>
  <si>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 xml:space="preserve"> за период с 01.01.2019  по 31.12.2019</t>
  </si>
  <si>
    <t>договор с ГУП РК "Крымэнерго (счет, акт )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</si>
  <si>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</si>
  <si>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</si>
  <si>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</si>
  <si>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</si>
  <si>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</si>
  <si>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</si>
  <si>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</si>
  <si>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Площадь квартир с централизованным отоплением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</si>
  <si>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</si>
  <si>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</si>
  <si>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</si>
  <si>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</si>
  <si>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</si>
  <si>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</si>
  <si>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</si>
  <si>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</si>
  <si>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</si>
  <si>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</si>
  <si>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</si>
  <si>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</si>
  <si>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</si>
  <si>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</si>
  <si>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</si>
  <si>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</si>
  <si>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</si>
  <si>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</si>
  <si>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</si>
  <si>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</si>
  <si>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</si>
  <si>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</si>
  <si>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</si>
  <si>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</si>
  <si>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</si>
  <si>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</si>
  <si>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</si>
  <si>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Расход  электроэнергии лифтов, кВт, (за прошлый год)</t>
  </si>
  <si>
    <t>Расход электроэнергии МОП, кВт,  (за прошлый год)</t>
  </si>
  <si>
    <t>Площадь контейнерных площадок, м.кв.</t>
  </si>
  <si>
    <t>да</t>
  </si>
  <si>
    <t>каменщик 3р.</t>
  </si>
  <si>
    <t>плотник 4р.</t>
  </si>
  <si>
    <t>штукатур 4р.</t>
  </si>
  <si>
    <t>маляр 3р.</t>
  </si>
  <si>
    <t>маляр 2р.</t>
  </si>
  <si>
    <t>столяр 3р.</t>
  </si>
  <si>
    <t>подсобный раб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</si>
  <si>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</si>
  <si>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</si>
  <si>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</si>
  <si>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</si>
  <si>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</si>
  <si>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Дворник 1р.</t>
  </si>
  <si>
    <t>Уборщик мусоропровода 1р.</t>
  </si>
  <si>
    <r>
      <t>Заработная плата рабочих (</t>
    </r>
    <r>
      <rPr>
        <sz val="12"/>
        <rFont val="Times New Roman"/>
        <family val="1"/>
        <charset val="204"/>
      </rPr>
      <t>Дворник</t>
    </r>
    <r>
      <rPr>
        <sz val="12"/>
        <color indexed="8"/>
        <rFont val="Times New Roman"/>
        <family val="1"/>
        <charset val="204"/>
      </rPr>
      <t>)</t>
    </r>
  </si>
  <si>
    <t>Заработная плата рабочих (Уборщик мусоропроводов)</t>
  </si>
  <si>
    <t>Коэфф</t>
  </si>
  <si>
    <t xml:space="preserve"> за период с 01.01.2020  по 30.12.2020</t>
  </si>
  <si>
    <t>договор с ГУП РК "Крымэнерго (счет, акт)</t>
  </si>
  <si>
    <t>Тимирязева, 27 /1</t>
  </si>
  <si>
    <t>ТАРИФ</t>
  </si>
  <si>
    <t>ИТОГО</t>
  </si>
  <si>
    <t>I. Обслуживание конструктивных элементов жилых зданий*</t>
  </si>
  <si>
    <t>1.1. Содержание всех видов фундаментов, стен, перекрытий и покрытий, колонн и столбов, балок (ригелей) перекрытий, лестниц, перегородок</t>
  </si>
  <si>
    <t>1.2. Содержание фасадов, внутренней отделки</t>
  </si>
  <si>
    <t>1.3. Содержание полов, оконных и дверных заполнений помещений, относящихся к общему имуществу</t>
  </si>
  <si>
    <t>1.4. Содержание подвалов</t>
  </si>
  <si>
    <t>1.5. Содержание крыш</t>
  </si>
  <si>
    <t>II. Обслуживание внутридомового инженерного оборудования</t>
  </si>
  <si>
    <t>2.1. Обслуживание систем холодного водоснабжения и водоотведения</t>
  </si>
  <si>
    <t>2.2. Обслуживание систем теплоснабжения</t>
  </si>
  <si>
    <t>2.3. Обслуживание систем электроснабжения</t>
  </si>
  <si>
    <t>2.4. Обслуживание вентиляционных каналов и дымоходов</t>
  </si>
  <si>
    <t>2.5. Техническое обслуживание лифта (лифтов) в многоквартирном доме</t>
  </si>
  <si>
    <t>2.6. Техническое обслуживание внутридомового газового оборудования</t>
  </si>
  <si>
    <t>2.7. Техническое диагностирование внутридомового газового оборудования</t>
  </si>
  <si>
    <t>2.8. Поверка и техническое обслуживание подомовых приборов учета тепловой энергии</t>
  </si>
  <si>
    <t>2.9. Обслуживание систем пожаротушения</t>
  </si>
  <si>
    <t>2.10. Обслуживание систем дымоудаления</t>
  </si>
  <si>
    <t>III. Содержание иного общего имущества в многоквартирном доме</t>
  </si>
  <si>
    <t>3.1. Уборка лестничных клеток</t>
  </si>
  <si>
    <t>3.2. Обслуживание территорий домовладений (подметание)</t>
  </si>
  <si>
    <t>3.4. Обслуживание мусоропроводов</t>
  </si>
  <si>
    <t>3.5. Дератизация и дезинсекция мест общего пользования, подвалов и мусоропроводов</t>
  </si>
  <si>
    <t>3.6. Аварийно-диспетчерское обслуживание</t>
  </si>
  <si>
    <t>IV. Расходы на управление жилищным фондом</t>
  </si>
  <si>
    <t>V.Общие эксплуатационные расходы</t>
  </si>
  <si>
    <t>VΙ. Расходы на коммунальные ресурсы, потребляемые при использовании и содержании общего имущества в многоквартином доме:</t>
  </si>
  <si>
    <t>6.1. Расходы на электроэнергию</t>
  </si>
  <si>
    <t>6.2. Расходы по водоснабжению и водоотведению</t>
  </si>
  <si>
    <t>ИТОГО  в месяц</t>
  </si>
  <si>
    <t>Всего за год</t>
  </si>
  <si>
    <t>с 01.10.2021</t>
  </si>
  <si>
    <t>9 мес</t>
  </si>
  <si>
    <t xml:space="preserve"> за период с 01.01.2021  по 30.09.2021</t>
  </si>
  <si>
    <t>договор с УЭГХ ГУП РК "Крымгазсети" (счет, акт)</t>
  </si>
  <si>
    <t>3 мес</t>
  </si>
  <si>
    <t xml:space="preserve"> за период с 01.10.2021  по 31.12.2021</t>
  </si>
  <si>
    <t xml:space="preserve"> за период с 01.01.2021  по 31.12.2021</t>
  </si>
  <si>
    <t>Отчет о выполненных работах и услугах по содержанию домов, сооружений и придомовых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</si>
</sst>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"/>
    <numFmt numFmtId="170" formatCode="0.0000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6" fillId="0" borderId="0" xfId="0" applyFont="1"/>
    <xf numFmtId="0" fontId="1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19" fillId="0" borderId="0" xfId="0" applyFont="1" applyFill="1" applyBorder="1" applyAlignment="1">
      <alignment horizontal="center" vertical="top" wrapText="1"/>
    </xf>
    <xf numFmtId="166" fontId="18" fillId="0" borderId="0" xfId="0" applyNumberFormat="1" applyFont="1" applyBorder="1"/>
    <xf numFmtId="168" fontId="7" fillId="0" borderId="1" xfId="0" applyNumberFormat="1" applyFont="1" applyBorder="1"/>
    <xf numFmtId="4" fontId="16" fillId="0" borderId="0" xfId="0" applyNumberFormat="1" applyFont="1"/>
    <xf numFmtId="166" fontId="16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0" fontId="18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0" fontId="13" fillId="2" borderId="1" xfId="0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169" fontId="7" fillId="0" borderId="1" xfId="0" applyNumberFormat="1" applyFont="1" applyFill="1" applyBorder="1"/>
    <xf numFmtId="166" fontId="6" fillId="0" borderId="1" xfId="0" applyNumberFormat="1" applyFont="1" applyFill="1" applyBorder="1"/>
    <xf numFmtId="166" fontId="6" fillId="0" borderId="8" xfId="0" applyNumberFormat="1" applyFont="1" applyFill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166" fontId="12" fillId="2" borderId="1" xfId="0" applyNumberFormat="1" applyFont="1" applyFill="1" applyBorder="1"/>
    <xf numFmtId="2" fontId="4" fillId="0" borderId="1" xfId="0" applyNumberFormat="1" applyFont="1" applyBorder="1"/>
    <xf numFmtId="4" fontId="6" fillId="0" borderId="8" xfId="0" applyNumberFormat="1" applyFont="1" applyFill="1" applyBorder="1"/>
    <xf numFmtId="4" fontId="5" fillId="0" borderId="1" xfId="0" applyNumberFormat="1" applyFont="1" applyBorder="1"/>
    <xf numFmtId="0" fontId="21" fillId="0" borderId="0" xfId="0" applyFont="1" applyBorder="1" applyAlignment="1">
      <alignment horizontal="left" vertical="center" wrapText="1" indent="5"/>
    </xf>
    <xf numFmtId="165" fontId="0" fillId="0" borderId="0" xfId="0" applyNumberFormat="1"/>
    <xf numFmtId="0" fontId="23" fillId="0" borderId="3" xfId="0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5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4" fillId="0" borderId="0" xfId="0" applyFont="1" applyAlignment="1">
      <alignment vertical="center"/>
    </xf>
    <xf numFmtId="0" fontId="24" fillId="0" borderId="0" xfId="0" applyFont="1"/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0" applyNumberFormat="1"/>
    <xf numFmtId="2" fontId="22" fillId="0" borderId="1" xfId="0" applyNumberFormat="1" applyFont="1" applyBorder="1"/>
    <xf numFmtId="2" fontId="0" fillId="0" borderId="1" xfId="0" applyNumberFormat="1" applyBorder="1"/>
    <xf numFmtId="4" fontId="6" fillId="0" borderId="0" xfId="0" applyNumberFormat="1" applyFont="1" applyBorder="1"/>
    <xf numFmtId="0" fontId="0" fillId="0" borderId="0" xfId="0" applyAlignment="1">
      <alignment wrapText="1"/>
    </xf>
    <xf numFmtId="165" fontId="0" fillId="0" borderId="0" xfId="0" applyNumberFormat="1" applyAlignment="1">
      <alignment horizontal="right"/>
    </xf>
    <xf numFmtId="167" fontId="6" fillId="0" borderId="2" xfId="0" applyNumberFormat="1" applyFont="1" applyBorder="1"/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 indent="1"/>
    </xf>
    <xf numFmtId="0" fontId="26" fillId="0" borderId="1" xfId="0" applyFont="1" applyFill="1" applyBorder="1" applyAlignment="1">
      <alignment wrapText="1"/>
    </xf>
    <xf numFmtId="165" fontId="26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 wrapText="1"/>
    </xf>
    <xf numFmtId="165" fontId="28" fillId="0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4" fontId="26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32" fillId="0" borderId="1" xfId="0" applyFont="1" applyFill="1" applyBorder="1" applyAlignment="1">
      <alignment vertical="center" wrapText="1"/>
    </xf>
    <xf numFmtId="165" fontId="3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2" fontId="14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abSelected="1" zoomScaleNormal="100" workbookViewId="0">
      <selection sqref="A1:D122"/>
    </sheetView>
  </sheetViews>
  <sheetFormatPr defaultRowHeight="15" x14ac:dyDescent="0.25"/>
  <cols>
    <col min="1" max="1" width="66.42578125" style="1" customWidth="1"/>
    <col min="2" max="2" width="14.28515625" style="2" hidden="1" customWidth="1"/>
    <col min="3" max="3" width="17.5703125" style="2" customWidth="1"/>
    <col min="4" max="4" width="19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149" t="s">
        <v>47</v>
      </c>
      <c r="B1" s="149"/>
      <c r="C1" s="149"/>
      <c r="D1" s="149"/>
      <c r="E1" s="48"/>
    </row>
    <row r="2" spans="1:10" ht="32.25" customHeight="1" x14ac:dyDescent="0.25">
      <c r="A2" s="152" t="s">
        <v>192</v>
      </c>
      <c r="B2" s="152"/>
      <c r="C2" s="152"/>
      <c r="D2" s="152"/>
      <c r="E2" s="48"/>
    </row>
    <row r="3" spans="1:10" ht="23.25" customHeight="1" x14ac:dyDescent="0.25">
      <c r="A3" s="138" t="s">
        <v>191</v>
      </c>
      <c r="B3" s="138"/>
      <c r="C3" s="138"/>
      <c r="D3" s="138"/>
      <c r="E3" s="148"/>
      <c r="F3" s="20"/>
    </row>
    <row r="4" spans="1:10" ht="22.5" customHeight="1" x14ac:dyDescent="0.25">
      <c r="A4" s="57" t="s">
        <v>1</v>
      </c>
      <c r="B4" s="139" t="str">
        <f>тариф!B2</f>
        <v>Тимирязева, 27 /1</v>
      </c>
      <c r="C4" s="151"/>
      <c r="D4" s="151"/>
      <c r="E4" s="150"/>
      <c r="F4" s="25"/>
    </row>
    <row r="5" spans="1:10" ht="20.25" customHeight="1" x14ac:dyDescent="0.25">
      <c r="A5" s="142" t="s">
        <v>30</v>
      </c>
      <c r="B5" s="145" t="s">
        <v>44</v>
      </c>
      <c r="C5" s="146"/>
      <c r="D5" s="51" t="s">
        <v>45</v>
      </c>
      <c r="E5" s="51" t="s">
        <v>72</v>
      </c>
    </row>
    <row r="6" spans="1:10" ht="18" customHeight="1" x14ac:dyDescent="0.25">
      <c r="A6" s="143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44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0</v>
      </c>
      <c r="C9" s="15">
        <f>C10+C15+C20+C25+C30</f>
        <v>7427.4101976602642</v>
      </c>
      <c r="D9" s="15">
        <f t="shared" ref="D9" si="0">D10+D15+D20+D25+D30</f>
        <v>0</v>
      </c>
      <c r="E9" s="15">
        <f>C9-D9</f>
        <v>7427.4101976602642</v>
      </c>
      <c r="F9" s="23"/>
      <c r="G9" s="106"/>
    </row>
    <row r="10" spans="1:10" ht="63.75" customHeight="1" x14ac:dyDescent="0.25">
      <c r="A10" s="31" t="s">
        <v>3</v>
      </c>
      <c r="B10" s="35">
        <f>F10</f>
        <v>0</v>
      </c>
      <c r="C10" s="35">
        <f>'калькуляция с 01.10.2021'!C10+'калькуляция с 01.01.по30.09.21'!C10</f>
        <v>801.28871604000005</v>
      </c>
      <c r="D10" s="35">
        <f>SUM(D11:D14)</f>
        <v>0</v>
      </c>
      <c r="E10" s="15">
        <f t="shared" ref="E10:E72" si="1">C10-D10</f>
        <v>801.28871604000005</v>
      </c>
      <c r="F10" s="22"/>
      <c r="G10" s="107" t="s">
        <v>133</v>
      </c>
      <c r="H10" s="1" t="s">
        <v>134</v>
      </c>
    </row>
    <row r="11" spans="1:10" ht="17.25" hidden="1" customHeight="1" x14ac:dyDescent="0.25">
      <c r="A11" s="36" t="s">
        <v>36</v>
      </c>
      <c r="B11" s="35"/>
      <c r="C11" s="35"/>
      <c r="D11" s="35">
        <v>0</v>
      </c>
      <c r="E11" s="15"/>
      <c r="F11" s="22"/>
      <c r="G11" s="18">
        <v>20387</v>
      </c>
      <c r="H11" s="1">
        <v>22182</v>
      </c>
      <c r="J11" s="18"/>
    </row>
    <row r="12" spans="1:10" ht="14.25" hidden="1" customHeight="1" x14ac:dyDescent="0.25">
      <c r="A12" s="36" t="s">
        <v>37</v>
      </c>
      <c r="B12" s="35"/>
      <c r="C12" s="35"/>
      <c r="D12" s="35">
        <v>0</v>
      </c>
      <c r="E12" s="15"/>
      <c r="F12" s="22"/>
      <c r="G12" s="84">
        <f>('ТХ МКД'!B7+'ТХ МКД'!B28*0.5)*0.0111/1000</f>
        <v>1.3045830000000001E-2</v>
      </c>
      <c r="H12" s="84">
        <f>('ТХ МКД'!B7+'ТХ МКД'!B28*0.5)*0.00539/1000</f>
        <v>6.3348669999999992E-3</v>
      </c>
      <c r="I12" s="100"/>
    </row>
    <row r="13" spans="1:10" ht="14.25" hidden="1" customHeight="1" x14ac:dyDescent="0.25">
      <c r="A13" s="36" t="s">
        <v>38</v>
      </c>
      <c r="B13" s="35"/>
      <c r="C13" s="35"/>
      <c r="D13" s="35">
        <v>0</v>
      </c>
      <c r="E13" s="15"/>
      <c r="F13" s="22"/>
      <c r="G13" s="84">
        <f>G12*0.109</f>
        <v>1.4219954700000002E-3</v>
      </c>
      <c r="H13" s="84">
        <f>H12*0.1339</f>
        <v>8.4823869129999985E-4</v>
      </c>
    </row>
    <row r="14" spans="1:10" ht="14.25" hidden="1" customHeight="1" x14ac:dyDescent="0.25">
      <c r="A14" s="36" t="s">
        <v>0</v>
      </c>
      <c r="B14" s="35"/>
      <c r="C14" s="35"/>
      <c r="D14" s="35">
        <v>0</v>
      </c>
      <c r="E14" s="15"/>
      <c r="F14" s="22"/>
      <c r="G14" s="101"/>
      <c r="H14" s="101"/>
    </row>
    <row r="15" spans="1:10" ht="33.75" customHeight="1" x14ac:dyDescent="0.25">
      <c r="A15" s="31" t="s">
        <v>4</v>
      </c>
      <c r="B15" s="35">
        <f>F15</f>
        <v>0</v>
      </c>
      <c r="C15" s="35">
        <f>'калькуляция с 01.10.2021'!C15+'калькуляция с 01.01.по30.09.21'!C15</f>
        <v>2851.0909686</v>
      </c>
      <c r="D15" s="35">
        <f>SUM(D16:D19)</f>
        <v>0</v>
      </c>
      <c r="E15" s="15">
        <f t="shared" si="1"/>
        <v>2851.0909686</v>
      </c>
      <c r="F15" s="22"/>
      <c r="G15" s="107" t="s">
        <v>135</v>
      </c>
      <c r="H15" s="107" t="s">
        <v>136</v>
      </c>
      <c r="I15" s="107" t="s">
        <v>137</v>
      </c>
    </row>
    <row r="16" spans="1:10" ht="15.75" hidden="1" customHeight="1" x14ac:dyDescent="0.25">
      <c r="A16" s="38" t="s">
        <v>36</v>
      </c>
      <c r="B16" s="35"/>
      <c r="C16" s="35"/>
      <c r="D16" s="35">
        <v>0</v>
      </c>
      <c r="E16" s="15"/>
      <c r="F16" s="22"/>
      <c r="G16" s="1">
        <v>22182</v>
      </c>
      <c r="H16" s="1">
        <v>20387</v>
      </c>
      <c r="I16" s="1">
        <v>17438</v>
      </c>
    </row>
    <row r="17" spans="1:9" ht="17.25" hidden="1" customHeight="1" x14ac:dyDescent="0.25">
      <c r="A17" s="37" t="s">
        <v>37</v>
      </c>
      <c r="B17" s="35"/>
      <c r="C17" s="35"/>
      <c r="D17" s="35">
        <v>0</v>
      </c>
      <c r="E17" s="15"/>
      <c r="F17" s="22"/>
      <c r="G17" s="84">
        <f>('ТХ МКД'!B7+'ТХ МКД'!B28*0.5)*0.0018/1000</f>
        <v>2.11554E-3</v>
      </c>
      <c r="H17" s="84">
        <f>('ТХ МКД'!B7+'ТХ МКД'!B28*0.5)*0.02295/1000</f>
        <v>2.6973134999999999E-2</v>
      </c>
      <c r="I17" s="84">
        <f>('ТХ МКД'!B7+'ТХ МКД'!B28*0.5)*0.02295/1000</f>
        <v>2.6973134999999999E-2</v>
      </c>
    </row>
    <row r="18" spans="1:9" ht="17.25" hidden="1" customHeight="1" x14ac:dyDescent="0.25">
      <c r="A18" s="37" t="s">
        <v>38</v>
      </c>
      <c r="B18" s="35"/>
      <c r="C18" s="35"/>
      <c r="D18" s="35">
        <v>0</v>
      </c>
      <c r="E18" s="15"/>
      <c r="F18" s="22"/>
      <c r="G18" s="84">
        <f>G17*0.5079</f>
        <v>1.0744827660000001E-3</v>
      </c>
      <c r="H18" s="84">
        <f>H17*0.2671</f>
        <v>7.2045243585E-3</v>
      </c>
      <c r="I18" s="18"/>
    </row>
    <row r="19" spans="1:9" ht="17.25" hidden="1" customHeight="1" x14ac:dyDescent="0.25">
      <c r="A19" s="37" t="s">
        <v>0</v>
      </c>
      <c r="B19" s="35"/>
      <c r="C19" s="35"/>
      <c r="D19" s="35">
        <v>0</v>
      </c>
      <c r="E19" s="15"/>
      <c r="F19" s="22"/>
      <c r="G19" s="101"/>
      <c r="H19" s="101"/>
      <c r="I19" s="102"/>
    </row>
    <row r="20" spans="1:9" ht="48.75" customHeight="1" x14ac:dyDescent="0.25">
      <c r="A20" s="31" t="s">
        <v>5</v>
      </c>
      <c r="B20" s="35">
        <f>F20</f>
        <v>0</v>
      </c>
      <c r="C20" s="35">
        <f>'калькуляция с 01.10.2021'!C20+'калькуляция с 01.01.по30.09.21'!C20</f>
        <v>374.28513192000003</v>
      </c>
      <c r="D20" s="35">
        <f>SUM(D21:D24)</f>
        <v>0</v>
      </c>
      <c r="E20" s="15">
        <f t="shared" si="1"/>
        <v>374.28513192000003</v>
      </c>
      <c r="F20" s="22"/>
      <c r="G20" s="107" t="s">
        <v>138</v>
      </c>
    </row>
    <row r="21" spans="1:9" ht="15.75" hidden="1" x14ac:dyDescent="0.25">
      <c r="A21" s="37" t="s">
        <v>36</v>
      </c>
      <c r="B21" s="35"/>
      <c r="C21" s="35"/>
      <c r="D21" s="35">
        <v>0</v>
      </c>
      <c r="E21" s="15"/>
      <c r="F21" s="22"/>
      <c r="G21" s="1">
        <v>20387</v>
      </c>
    </row>
    <row r="22" spans="1:9" ht="15.75" hidden="1" x14ac:dyDescent="0.25">
      <c r="A22" s="37" t="s">
        <v>37</v>
      </c>
      <c r="B22" s="35"/>
      <c r="C22" s="35"/>
      <c r="D22" s="35">
        <v>0</v>
      </c>
      <c r="E22" s="15"/>
      <c r="F22" s="22"/>
      <c r="G22" s="84">
        <f>('ТХ МКД'!B7+'ТХ МКД'!B28*0.5)*0.00888/1000</f>
        <v>1.0436664E-2</v>
      </c>
    </row>
    <row r="23" spans="1:9" ht="15.75" hidden="1" x14ac:dyDescent="0.25">
      <c r="A23" s="37" t="s">
        <v>38</v>
      </c>
      <c r="B23" s="35"/>
      <c r="C23" s="35"/>
      <c r="D23" s="35">
        <v>0</v>
      </c>
      <c r="E23" s="15"/>
      <c r="F23" s="22"/>
      <c r="G23" s="84">
        <f>G22*0.1192</f>
        <v>1.2440503488E-3</v>
      </c>
      <c r="H23" s="2"/>
    </row>
    <row r="24" spans="1:9" ht="15.75" hidden="1" x14ac:dyDescent="0.25">
      <c r="A24" s="37" t="s">
        <v>0</v>
      </c>
      <c r="B24" s="35"/>
      <c r="C24" s="35"/>
      <c r="D24" s="35">
        <v>0</v>
      </c>
      <c r="E24" s="15"/>
      <c r="F24" s="22"/>
      <c r="G24" s="101"/>
    </row>
    <row r="25" spans="1:9" ht="15.75" x14ac:dyDescent="0.25">
      <c r="A25" s="31" t="s">
        <v>6</v>
      </c>
      <c r="B25" s="35">
        <f>F25</f>
        <v>0</v>
      </c>
      <c r="C25" s="35">
        <f>'калькуляция с 01.10.2021'!C25+'калькуляция с 01.01.по30.09.21'!C25</f>
        <v>930.24207690026378</v>
      </c>
      <c r="D25" s="35">
        <f>SUM(D26:D29)</f>
        <v>0</v>
      </c>
      <c r="E25" s="15">
        <f t="shared" si="1"/>
        <v>930.24207690026378</v>
      </c>
      <c r="F25" s="22"/>
      <c r="G25" s="107" t="s">
        <v>139</v>
      </c>
    </row>
    <row r="26" spans="1:9" ht="15.75" hidden="1" x14ac:dyDescent="0.25">
      <c r="A26" s="37" t="s">
        <v>36</v>
      </c>
      <c r="B26" s="35"/>
      <c r="C26" s="35"/>
      <c r="D26" s="35">
        <v>0</v>
      </c>
      <c r="E26" s="15"/>
      <c r="F26" s="22"/>
      <c r="G26" s="1">
        <v>12822</v>
      </c>
    </row>
    <row r="27" spans="1:9" ht="15.75" hidden="1" x14ac:dyDescent="0.25">
      <c r="A27" s="37" t="s">
        <v>37</v>
      </c>
      <c r="B27" s="35"/>
      <c r="C27" s="35"/>
      <c r="D27" s="35">
        <v>0</v>
      </c>
      <c r="E27" s="15"/>
      <c r="F27" s="22"/>
      <c r="G27" s="84">
        <f>'ТХ МКД'!B27*0.0263/1000</f>
        <v>3.9528900000000006E-3</v>
      </c>
    </row>
    <row r="28" spans="1:9" ht="15.75" hidden="1" x14ac:dyDescent="0.25">
      <c r="A28" s="37" t="s">
        <v>38</v>
      </c>
      <c r="B28" s="35"/>
      <c r="C28" s="35"/>
      <c r="D28" s="35">
        <v>0</v>
      </c>
      <c r="E28" s="15"/>
      <c r="F28" s="22"/>
      <c r="G28" s="101"/>
      <c r="H28" s="2"/>
    </row>
    <row r="29" spans="1:9" ht="15.75" hidden="1" x14ac:dyDescent="0.25">
      <c r="A29" s="37" t="s">
        <v>0</v>
      </c>
      <c r="B29" s="35"/>
      <c r="C29" s="35"/>
      <c r="D29" s="35">
        <v>0</v>
      </c>
      <c r="E29" s="15"/>
      <c r="F29" s="22"/>
    </row>
    <row r="30" spans="1:9" ht="17.25" customHeight="1" x14ac:dyDescent="0.25">
      <c r="A30" s="31" t="s">
        <v>7</v>
      </c>
      <c r="B30" s="35">
        <f>F30</f>
        <v>0</v>
      </c>
      <c r="C30" s="35">
        <f>'калькуляция с 01.10.2021'!C30+'калькуляция с 01.01.по30.09.21'!C30</f>
        <v>2470.5033042000005</v>
      </c>
      <c r="D30" s="35">
        <f>SUM(D31:D34)</f>
        <v>0</v>
      </c>
      <c r="E30" s="15">
        <f t="shared" si="1"/>
        <v>2470.5033042000005</v>
      </c>
      <c r="F30" s="22"/>
      <c r="G30" s="107" t="s">
        <v>140</v>
      </c>
    </row>
    <row r="31" spans="1:9" ht="15.75" hidden="1" x14ac:dyDescent="0.25">
      <c r="A31" s="37" t="s">
        <v>36</v>
      </c>
      <c r="B31" s="35"/>
      <c r="C31" s="35"/>
      <c r="D31" s="35"/>
      <c r="E31" s="15"/>
      <c r="F31" s="22"/>
      <c r="G31" s="1">
        <v>20387</v>
      </c>
    </row>
    <row r="32" spans="1:9" ht="15.75" hidden="1" x14ac:dyDescent="0.25">
      <c r="A32" s="37" t="s">
        <v>37</v>
      </c>
      <c r="B32" s="35"/>
      <c r="C32" s="35"/>
      <c r="D32" s="35"/>
      <c r="E32" s="15"/>
      <c r="F32" s="22"/>
      <c r="G32" s="84">
        <f>'ТХ МКД'!B21/1000*0.0763</f>
        <v>1.5298150000000002E-2</v>
      </c>
    </row>
    <row r="33" spans="1:8" ht="15.75" hidden="1" customHeight="1" x14ac:dyDescent="0.25">
      <c r="A33" s="37" t="s">
        <v>83</v>
      </c>
      <c r="B33" s="35"/>
      <c r="C33" s="35"/>
      <c r="D33" s="35"/>
      <c r="E33" s="15"/>
      <c r="F33" s="22"/>
      <c r="G33" s="84">
        <f>G32*0.1546</f>
        <v>2.3650939899999999E-3</v>
      </c>
      <c r="H33" s="2"/>
    </row>
    <row r="34" spans="1:8" ht="15.75" x14ac:dyDescent="0.25">
      <c r="A34" s="37" t="s">
        <v>0</v>
      </c>
      <c r="B34" s="35"/>
      <c r="C34" s="35"/>
      <c r="D34" s="35"/>
      <c r="E34" s="15"/>
      <c r="F34" s="22"/>
      <c r="G34" s="101"/>
    </row>
    <row r="35" spans="1:8" ht="31.5" x14ac:dyDescent="0.25">
      <c r="A35" s="29" t="s">
        <v>8</v>
      </c>
      <c r="B35" s="15">
        <f>B36+B41+B46+B51+B56+B58+B60+B62</f>
        <v>0</v>
      </c>
      <c r="C35" s="15">
        <f t="shared" ref="C35:D35" si="2">C36+C41+C46+C51+C56+C58+C60+C62</f>
        <v>25622.559883737933</v>
      </c>
      <c r="D35" s="15">
        <f t="shared" si="2"/>
        <v>1282.5999999999999</v>
      </c>
      <c r="E35" s="15">
        <f t="shared" si="1"/>
        <v>24339.959883737934</v>
      </c>
      <c r="F35" s="23"/>
      <c r="G35" s="103"/>
    </row>
    <row r="36" spans="1:8" ht="31.5" customHeight="1" x14ac:dyDescent="0.25">
      <c r="A36" s="31" t="s">
        <v>9</v>
      </c>
      <c r="B36" s="35">
        <f>F36</f>
        <v>0</v>
      </c>
      <c r="C36" s="35">
        <f>'калькуляция с 01.10.2021'!C36+'калькуляция с 01.01.по30.09.21'!C36</f>
        <v>10703.73563064</v>
      </c>
      <c r="D36" s="35">
        <v>301</v>
      </c>
      <c r="E36" s="15">
        <f t="shared" si="1"/>
        <v>10402.73563064</v>
      </c>
      <c r="F36" s="22"/>
      <c r="G36" s="104" t="s">
        <v>141</v>
      </c>
      <c r="H36" s="1" t="s">
        <v>142</v>
      </c>
    </row>
    <row r="37" spans="1:8" ht="15.75" hidden="1" x14ac:dyDescent="0.25">
      <c r="A37" s="37" t="s">
        <v>36</v>
      </c>
      <c r="B37" s="35"/>
      <c r="C37" s="35"/>
      <c r="D37" s="35">
        <v>0</v>
      </c>
      <c r="E37" s="15"/>
      <c r="F37" s="22"/>
      <c r="G37" s="1">
        <v>23336</v>
      </c>
      <c r="H37" s="1">
        <v>23336</v>
      </c>
    </row>
    <row r="38" spans="1:8" ht="15.75" hidden="1" x14ac:dyDescent="0.25">
      <c r="A38" s="37" t="s">
        <v>37</v>
      </c>
      <c r="B38" s="35"/>
      <c r="C38" s="35"/>
      <c r="D38" s="35">
        <v>0</v>
      </c>
      <c r="E38" s="15"/>
      <c r="F38" s="22"/>
      <c r="G38" s="84">
        <f>'ТХ МКД'!B14/325</f>
        <v>3.6923076923076927E-2</v>
      </c>
      <c r="H38" s="84">
        <f>('ТХ МКД'!B7+'ТХ МКД'!B28*0.5)*0.01631/1000</f>
        <v>1.9169143000000003E-2</v>
      </c>
    </row>
    <row r="39" spans="1:8" ht="15.75" hidden="1" x14ac:dyDescent="0.25">
      <c r="A39" s="37" t="s">
        <v>38</v>
      </c>
      <c r="B39" s="35"/>
      <c r="C39" s="35"/>
      <c r="D39" s="35">
        <v>0</v>
      </c>
      <c r="E39" s="15"/>
      <c r="F39" s="22"/>
      <c r="G39" s="84">
        <f>G38*0.312746</f>
        <v>1.1547544615384618E-2</v>
      </c>
      <c r="H39" s="19">
        <f>H38*0.1819</f>
        <v>3.4868671117000006E-3</v>
      </c>
    </row>
    <row r="40" spans="1:8" ht="15.75" hidden="1" x14ac:dyDescent="0.25">
      <c r="A40" s="37" t="s">
        <v>0</v>
      </c>
      <c r="B40" s="35"/>
      <c r="C40" s="35"/>
      <c r="D40" s="35">
        <v>0</v>
      </c>
      <c r="E40" s="15"/>
      <c r="F40" s="22"/>
      <c r="G40" s="101"/>
      <c r="H40" s="101"/>
    </row>
    <row r="41" spans="1:8" ht="15.75" x14ac:dyDescent="0.25">
      <c r="A41" s="31" t="s">
        <v>10</v>
      </c>
      <c r="B41" s="35">
        <f>F41</f>
        <v>0</v>
      </c>
      <c r="C41" s="35">
        <f>'калькуляция с 01.10.2021'!C41+'калькуляция с 01.01.по30.09.21'!C41</f>
        <v>3504.6762778800003</v>
      </c>
      <c r="D41" s="35">
        <v>298.60000000000002</v>
      </c>
      <c r="E41" s="15">
        <f t="shared" si="1"/>
        <v>3206.0762778800004</v>
      </c>
      <c r="F41" s="22"/>
      <c r="G41" s="1" t="s">
        <v>141</v>
      </c>
      <c r="H41" s="1" t="s">
        <v>142</v>
      </c>
    </row>
    <row r="42" spans="1:8" ht="15.75" hidden="1" x14ac:dyDescent="0.25">
      <c r="A42" s="37" t="s">
        <v>36</v>
      </c>
      <c r="B42" s="35"/>
      <c r="C42" s="35"/>
      <c r="D42" s="35">
        <v>0</v>
      </c>
      <c r="E42" s="15"/>
      <c r="F42" s="22"/>
      <c r="G42" s="1">
        <v>23336</v>
      </c>
    </row>
    <row r="43" spans="1:8" ht="15.75" hidden="1" x14ac:dyDescent="0.25">
      <c r="A43" s="37" t="s">
        <v>37</v>
      </c>
      <c r="B43" s="35"/>
      <c r="C43" s="35"/>
      <c r="D43" s="35">
        <v>0</v>
      </c>
      <c r="E43" s="15"/>
      <c r="F43" s="22"/>
      <c r="G43" s="84">
        <f>('ТХ МКД'!B7+'ТХ МКД'!B28*0.5)/39000</f>
        <v>3.0135897435897434E-2</v>
      </c>
    </row>
    <row r="44" spans="1:8" ht="15.75" hidden="1" x14ac:dyDescent="0.25">
      <c r="A44" s="37" t="s">
        <v>38</v>
      </c>
      <c r="B44" s="35"/>
      <c r="C44" s="35"/>
      <c r="D44" s="35">
        <v>0</v>
      </c>
      <c r="E44" s="15"/>
      <c r="F44" s="22"/>
      <c r="G44" s="84">
        <f>G43*0.3127</f>
        <v>9.4234951282051276E-3</v>
      </c>
    </row>
    <row r="45" spans="1:8" ht="15.75" hidden="1" x14ac:dyDescent="0.25">
      <c r="A45" s="37" t="s">
        <v>0</v>
      </c>
      <c r="B45" s="35"/>
      <c r="C45" s="35"/>
      <c r="D45" s="35">
        <v>0</v>
      </c>
      <c r="E45" s="15"/>
      <c r="F45" s="22"/>
      <c r="G45" s="101"/>
    </row>
    <row r="46" spans="1:8" ht="15.75" x14ac:dyDescent="0.25">
      <c r="A46" s="31" t="s">
        <v>11</v>
      </c>
      <c r="B46" s="35">
        <f>F46</f>
        <v>0</v>
      </c>
      <c r="C46" s="35">
        <f>'калькуляция с 01.10.2021'!C46+'калькуляция с 01.01.по30.09.21'!C46</f>
        <v>2598.3139506579355</v>
      </c>
      <c r="D46" s="35">
        <v>683</v>
      </c>
      <c r="E46" s="15">
        <f t="shared" si="1"/>
        <v>1915.3139506579355</v>
      </c>
      <c r="F46" s="22"/>
      <c r="G46" s="107" t="s">
        <v>143</v>
      </c>
    </row>
    <row r="47" spans="1:8" ht="15.75" hidden="1" x14ac:dyDescent="0.25">
      <c r="A47" s="37" t="s">
        <v>36</v>
      </c>
      <c r="B47" s="35"/>
      <c r="C47" s="35"/>
      <c r="D47" s="35">
        <v>0</v>
      </c>
      <c r="E47" s="15"/>
      <c r="F47" s="22"/>
      <c r="G47" s="1">
        <v>22182</v>
      </c>
    </row>
    <row r="48" spans="1:8" ht="15.75" hidden="1" x14ac:dyDescent="0.25">
      <c r="A48" s="37" t="s">
        <v>37</v>
      </c>
      <c r="B48" s="35"/>
      <c r="C48" s="35"/>
      <c r="D48" s="35">
        <v>0</v>
      </c>
      <c r="E48" s="15"/>
      <c r="F48" s="22"/>
      <c r="G48" s="84">
        <f>'ТХ МКД'!B16/2250</f>
        <v>5.3333333333333332E-3</v>
      </c>
    </row>
    <row r="49" spans="1:7" ht="15.75" hidden="1" x14ac:dyDescent="0.25">
      <c r="A49" s="37" t="s">
        <v>38</v>
      </c>
      <c r="B49" s="35"/>
      <c r="C49" s="35"/>
      <c r="D49" s="35">
        <v>0</v>
      </c>
      <c r="E49" s="15"/>
      <c r="F49" s="22"/>
      <c r="G49" s="101"/>
    </row>
    <row r="50" spans="1:7" ht="15.75" hidden="1" x14ac:dyDescent="0.25">
      <c r="A50" s="37" t="s">
        <v>0</v>
      </c>
      <c r="B50" s="35"/>
      <c r="C50" s="35"/>
      <c r="D50" s="35">
        <v>0</v>
      </c>
      <c r="E50" s="15"/>
      <c r="F50" s="22"/>
    </row>
    <row r="51" spans="1:7" ht="19.5" customHeight="1" x14ac:dyDescent="0.25">
      <c r="A51" s="32" t="s">
        <v>12</v>
      </c>
      <c r="B51" s="35">
        <f>F51</f>
        <v>0</v>
      </c>
      <c r="C51" s="35">
        <f>'калькуляция с 01.10.2021'!C51+'калькуляция с 01.01.по30.09.21'!C51</f>
        <v>1104.6171045599999</v>
      </c>
      <c r="D51" s="35">
        <f>SUM(D52:D55)</f>
        <v>0</v>
      </c>
      <c r="E51" s="15">
        <f t="shared" si="1"/>
        <v>1104.6171045599999</v>
      </c>
      <c r="F51" s="22"/>
      <c r="G51" s="107" t="s">
        <v>144</v>
      </c>
    </row>
    <row r="52" spans="1:7" ht="15.75" hidden="1" x14ac:dyDescent="0.25">
      <c r="A52" s="37" t="s">
        <v>74</v>
      </c>
      <c r="B52" s="35"/>
      <c r="C52" s="35"/>
      <c r="D52" s="35"/>
      <c r="E52" s="15"/>
      <c r="F52" s="22"/>
      <c r="G52" s="1">
        <v>22182</v>
      </c>
    </row>
    <row r="53" spans="1:7" ht="15.75" hidden="1" x14ac:dyDescent="0.25">
      <c r="A53" s="37" t="s">
        <v>37</v>
      </c>
      <c r="B53" s="35"/>
      <c r="C53" s="35"/>
      <c r="D53" s="35"/>
      <c r="E53" s="15"/>
      <c r="F53" s="22"/>
      <c r="G53" s="1">
        <f>'ТХ МКД'!B12/1250</f>
        <v>9.5999999999999992E-3</v>
      </c>
    </row>
    <row r="54" spans="1:7" ht="15.75" hidden="1" x14ac:dyDescent="0.25">
      <c r="A54" s="37" t="s">
        <v>38</v>
      </c>
      <c r="B54" s="35"/>
      <c r="C54" s="35"/>
      <c r="D54" s="35"/>
      <c r="E54" s="15"/>
      <c r="F54" s="22"/>
      <c r="G54" s="84">
        <f>G53*0.3075</f>
        <v>2.9519999999999998E-3</v>
      </c>
    </row>
    <row r="55" spans="1:7" ht="15.75" hidden="1" x14ac:dyDescent="0.25">
      <c r="A55" s="37" t="s">
        <v>0</v>
      </c>
      <c r="B55" s="35"/>
      <c r="C55" s="35"/>
      <c r="D55" s="35"/>
      <c r="E55" s="15"/>
      <c r="F55" s="22"/>
      <c r="G55" s="101"/>
    </row>
    <row r="56" spans="1:7" ht="31.5" x14ac:dyDescent="0.25">
      <c r="A56" s="31" t="s">
        <v>13</v>
      </c>
      <c r="B56" s="35">
        <f>B57</f>
        <v>0</v>
      </c>
      <c r="C56" s="35">
        <f t="shared" ref="C56:C61" si="3">B56*3</f>
        <v>0</v>
      </c>
      <c r="D56" s="35">
        <f>D57</f>
        <v>0</v>
      </c>
      <c r="E56" s="15">
        <f>C56-D56</f>
        <v>0</v>
      </c>
      <c r="F56" s="22"/>
    </row>
    <row r="57" spans="1:7" ht="15.75" hidden="1" x14ac:dyDescent="0.25">
      <c r="A57" s="38" t="s">
        <v>84</v>
      </c>
      <c r="B57" s="35">
        <f>F56</f>
        <v>0</v>
      </c>
      <c r="C57" s="35">
        <f t="shared" si="3"/>
        <v>0</v>
      </c>
      <c r="D57" s="35"/>
      <c r="E57" s="15"/>
      <c r="F57" s="22"/>
    </row>
    <row r="58" spans="1:7" ht="31.5" x14ac:dyDescent="0.25">
      <c r="A58" s="31" t="s">
        <v>167</v>
      </c>
      <c r="B58" s="35">
        <f>B59</f>
        <v>0</v>
      </c>
      <c r="C58" s="35">
        <f>C59</f>
        <v>2627.1069299999999</v>
      </c>
      <c r="D58" s="35">
        <f>D59</f>
        <v>0</v>
      </c>
      <c r="E58" s="15">
        <f t="shared" si="1"/>
        <v>2627.1069299999999</v>
      </c>
      <c r="F58" s="22"/>
    </row>
    <row r="59" spans="1:7" ht="18.75" customHeight="1" x14ac:dyDescent="0.25">
      <c r="A59" s="38" t="s">
        <v>188</v>
      </c>
      <c r="B59" s="35">
        <f>F58</f>
        <v>0</v>
      </c>
      <c r="C59" s="35">
        <f>'калькуляция с 01.10.2021'!C59</f>
        <v>2627.1069299999999</v>
      </c>
      <c r="D59" s="35">
        <v>0</v>
      </c>
      <c r="E59" s="15"/>
      <c r="F59" s="22"/>
    </row>
    <row r="60" spans="1:7" ht="33.75" customHeight="1" x14ac:dyDescent="0.25">
      <c r="A60" s="31" t="s">
        <v>168</v>
      </c>
      <c r="B60" s="35">
        <f>B61</f>
        <v>0</v>
      </c>
      <c r="C60" s="35">
        <f t="shared" si="3"/>
        <v>0</v>
      </c>
      <c r="D60" s="35">
        <v>0</v>
      </c>
      <c r="E60" s="15">
        <f t="shared" si="1"/>
        <v>0</v>
      </c>
      <c r="F60" s="22"/>
    </row>
    <row r="61" spans="1:7" ht="36" hidden="1" customHeight="1" x14ac:dyDescent="0.25">
      <c r="A61" s="38" t="s">
        <v>40</v>
      </c>
      <c r="B61" s="35"/>
      <c r="C61" s="35">
        <f t="shared" si="3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169</v>
      </c>
      <c r="B62" s="35">
        <f>B63</f>
        <v>0</v>
      </c>
      <c r="C62" s="35">
        <f>C63</f>
        <v>5084.1099899999999</v>
      </c>
      <c r="D62" s="35">
        <f>D63</f>
        <v>0</v>
      </c>
      <c r="E62" s="15">
        <f t="shared" si="1"/>
        <v>5084.1099899999999</v>
      </c>
      <c r="F62" s="22"/>
    </row>
    <row r="63" spans="1:7" ht="15.75" customHeight="1" x14ac:dyDescent="0.25">
      <c r="A63" s="39" t="s">
        <v>40</v>
      </c>
      <c r="B63" s="35">
        <f>F62</f>
        <v>0</v>
      </c>
      <c r="C63" s="35">
        <f>'калькуляция с 01.10.2021'!C63+'калькуляция с 01.01.по30.09.21'!C63</f>
        <v>5084.1099899999999</v>
      </c>
      <c r="D63" s="35">
        <v>0</v>
      </c>
      <c r="E63" s="15"/>
      <c r="F63" s="22"/>
    </row>
    <row r="64" spans="1:7" ht="31.5" x14ac:dyDescent="0.25">
      <c r="A64" s="29" t="s">
        <v>17</v>
      </c>
      <c r="B64" s="16">
        <f>B65+B66+B71+B72+B77+B79</f>
        <v>995.51751791999993</v>
      </c>
      <c r="C64" s="16">
        <f t="shared" ref="C64:D64" si="4">C65+C66+C71+C72+C77+C79</f>
        <v>42833.621544624519</v>
      </c>
      <c r="D64" s="16">
        <f t="shared" si="4"/>
        <v>28489.352578369671</v>
      </c>
      <c r="E64" s="15">
        <f t="shared" si="1"/>
        <v>14344.268966254847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>B65*3</f>
        <v>0</v>
      </c>
      <c r="D65" s="35">
        <v>0</v>
      </c>
      <c r="E65" s="15">
        <f t="shared" si="1"/>
        <v>0</v>
      </c>
      <c r="F65" s="22"/>
    </row>
    <row r="66" spans="1:7" ht="13.5" customHeight="1" x14ac:dyDescent="0.25">
      <c r="A66" s="31" t="s">
        <v>19</v>
      </c>
      <c r="B66" s="35">
        <f>SUM(B67:B70)</f>
        <v>995.51751791999993</v>
      </c>
      <c r="C66" s="35">
        <f>'калькуляция с 01.10.2021'!C66+'калькуляция с 01.01.по30.09.21'!C66</f>
        <v>13422.27131860967</v>
      </c>
      <c r="D66" s="35">
        <v>13422.27131860967</v>
      </c>
      <c r="E66" s="15">
        <f t="shared" si="1"/>
        <v>0</v>
      </c>
      <c r="F66" s="22"/>
      <c r="G66" s="107" t="s">
        <v>145</v>
      </c>
    </row>
    <row r="67" spans="1:7" ht="15.75" hidden="1" x14ac:dyDescent="0.25">
      <c r="A67" s="37" t="s">
        <v>147</v>
      </c>
      <c r="B67" s="35">
        <f>F67</f>
        <v>764.60638857142851</v>
      </c>
      <c r="C67" s="35">
        <f>'калькуляция с 01.10.2021'!C67+'калькуляция с 01.01.по30.09.21'!C67</f>
        <v>8835.0142971428577</v>
      </c>
      <c r="D67" s="35"/>
      <c r="E67" s="15"/>
      <c r="F67" s="22">
        <f>G69</f>
        <v>764.60638857142851</v>
      </c>
      <c r="G67" s="1">
        <v>12822</v>
      </c>
    </row>
    <row r="68" spans="1:7" ht="15.75" hidden="1" x14ac:dyDescent="0.25">
      <c r="A68" s="37" t="s">
        <v>37</v>
      </c>
      <c r="B68" s="35">
        <f t="shared" ref="B68:B69" si="5">F68</f>
        <v>230.91112934857139</v>
      </c>
      <c r="C68" s="35">
        <f>'калькуляция с 01.10.2021'!C68+'калькуляция с 01.01.по30.09.21'!C68</f>
        <v>2668.1743177371427</v>
      </c>
      <c r="D68" s="35"/>
      <c r="E68" s="15"/>
      <c r="F68" s="22">
        <f>F67*0.302</f>
        <v>230.91112934857139</v>
      </c>
      <c r="G68" s="105">
        <f>'ТХ МКД'!B30/5250</f>
        <v>5.9632380952380951E-2</v>
      </c>
    </row>
    <row r="69" spans="1:7" ht="15.75" hidden="1" x14ac:dyDescent="0.25">
      <c r="A69" s="37" t="s">
        <v>38</v>
      </c>
      <c r="B69" s="35">
        <f t="shared" si="5"/>
        <v>0</v>
      </c>
      <c r="C69" s="35">
        <f>'калькуляция с 01.10.2021'!C69+'калькуляция с 01.01.по30.09.21'!C69</f>
        <v>1919.0827037296713</v>
      </c>
      <c r="D69" s="35"/>
      <c r="E69" s="15"/>
      <c r="F69" s="22"/>
      <c r="G69" s="101">
        <f>G67*G68</f>
        <v>764.60638857142851</v>
      </c>
    </row>
    <row r="70" spans="1:7" ht="15.75" hidden="1" x14ac:dyDescent="0.25">
      <c r="A70" s="37" t="s">
        <v>0</v>
      </c>
      <c r="B70" s="35"/>
      <c r="C70" s="35">
        <f>'калькуляция с 01.10.2021'!C70+'калькуляция с 01.01.по30.09.21'!C70</f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ref="C71" si="6">B71*3</f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0</v>
      </c>
      <c r="C72" s="35">
        <f>'калькуляция с 01.10.2021'!C72+'калькуляция с 01.01.по30.09.21'!C72</f>
        <v>13393.266266254843</v>
      </c>
      <c r="D72" s="35">
        <v>1643</v>
      </c>
      <c r="E72" s="15">
        <f t="shared" si="1"/>
        <v>11750.266266254843</v>
      </c>
      <c r="F72" s="22"/>
      <c r="G72" s="1" t="s">
        <v>146</v>
      </c>
    </row>
    <row r="73" spans="1:7" ht="31.5" hidden="1" x14ac:dyDescent="0.25">
      <c r="A73" s="37" t="s">
        <v>148</v>
      </c>
      <c r="B73" s="35">
        <f>F73</f>
        <v>0</v>
      </c>
      <c r="C73" s="35">
        <f>'калькуляция с 01.10.2021'!C73+'калькуляция с 01.01.по30.09.21'!C73</f>
        <v>8386.3018867924529</v>
      </c>
      <c r="D73" s="35"/>
      <c r="E73" s="15"/>
      <c r="F73" s="22"/>
      <c r="G73" s="1">
        <v>12822</v>
      </c>
    </row>
    <row r="74" spans="1:7" ht="15.75" hidden="1" x14ac:dyDescent="0.25">
      <c r="A74" s="37" t="s">
        <v>37</v>
      </c>
      <c r="B74" s="35">
        <f>B73*0.302</f>
        <v>0</v>
      </c>
      <c r="C74" s="35">
        <f>'калькуляция с 01.10.2021'!C74+'калькуляция с 01.01.по30.09.21'!C74</f>
        <v>2532.6631698113206</v>
      </c>
      <c r="D74" s="35"/>
      <c r="E74" s="15"/>
      <c r="F74" s="22">
        <f>G75</f>
        <v>725.77358490566041</v>
      </c>
      <c r="G74" s="84">
        <f>'ТХ МКД'!B18/530</f>
        <v>5.6603773584905662E-2</v>
      </c>
    </row>
    <row r="75" spans="1:7" ht="15.75" hidden="1" x14ac:dyDescent="0.25">
      <c r="A75" s="37" t="s">
        <v>38</v>
      </c>
      <c r="B75" s="35">
        <f>F72-B74-B73</f>
        <v>0</v>
      </c>
      <c r="C75" s="35">
        <f>'калькуляция с 01.10.2021'!C75+'калькуляция с 01.01.по30.09.21'!C75</f>
        <v>2474.3012096510702</v>
      </c>
      <c r="D75" s="35"/>
      <c r="E75" s="15"/>
      <c r="F75" s="22">
        <f>F74*0.302</f>
        <v>219.18362264150943</v>
      </c>
      <c r="G75" s="101">
        <f>G73*G74</f>
        <v>725.77358490566041</v>
      </c>
    </row>
    <row r="76" spans="1:7" ht="15.75" hidden="1" x14ac:dyDescent="0.25">
      <c r="A76" s="37" t="s">
        <v>0</v>
      </c>
      <c r="B76" s="35"/>
      <c r="C76" s="35">
        <f>'калькуляция с 01.10.2021'!C76+'калькуляция с 01.01.по30.09.21'!C76</f>
        <v>0</v>
      </c>
      <c r="D76" s="35"/>
      <c r="E76" s="15"/>
      <c r="F76" s="22"/>
    </row>
    <row r="77" spans="1:7" ht="15.75" customHeight="1" x14ac:dyDescent="0.25">
      <c r="A77" s="31" t="s">
        <v>22</v>
      </c>
      <c r="B77" s="35">
        <f>B78</f>
        <v>0</v>
      </c>
      <c r="C77" s="35">
        <f>C78</f>
        <v>3708.0027</v>
      </c>
      <c r="D77" s="35">
        <f>D78</f>
        <v>1114</v>
      </c>
      <c r="E77" s="15">
        <f t="shared" ref="E77:E120" si="7">C77-D77</f>
        <v>2594.0027</v>
      </c>
      <c r="F77" s="22"/>
    </row>
    <row r="78" spans="1:7" ht="19.5" customHeight="1" x14ac:dyDescent="0.25">
      <c r="A78" s="38" t="s">
        <v>40</v>
      </c>
      <c r="B78" s="35">
        <f>F77</f>
        <v>0</v>
      </c>
      <c r="C78" s="35">
        <f>'калькуляция с 01.10.2021'!C78+'калькуляция с 01.01.по30.09.21'!C78</f>
        <v>3708.0027</v>
      </c>
      <c r="D78" s="35">
        <v>1114</v>
      </c>
      <c r="E78" s="15"/>
      <c r="F78" s="22"/>
    </row>
    <row r="79" spans="1:7" ht="15.75" customHeight="1" x14ac:dyDescent="0.25">
      <c r="A79" s="31" t="s">
        <v>23</v>
      </c>
      <c r="B79" s="35">
        <f>F79</f>
        <v>0</v>
      </c>
      <c r="C79" s="35">
        <f>'калькуляция с 01.10.2021'!C79+'калькуляция с 01.01.по30.09.21'!C79</f>
        <v>12310.081259760002</v>
      </c>
      <c r="D79" s="35">
        <v>12310.081259760002</v>
      </c>
      <c r="E79" s="15">
        <f t="shared" si="7"/>
        <v>0</v>
      </c>
      <c r="F79" s="22"/>
    </row>
    <row r="80" spans="1:7" ht="15.75" hidden="1" x14ac:dyDescent="0.25">
      <c r="A80" s="37" t="s">
        <v>36</v>
      </c>
      <c r="B80" s="35"/>
      <c r="C80" s="35"/>
      <c r="D80" s="35"/>
      <c r="E80" s="15"/>
      <c r="F80" s="22"/>
    </row>
    <row r="81" spans="1:6" ht="15.75" hidden="1" x14ac:dyDescent="0.25">
      <c r="A81" s="37" t="s">
        <v>37</v>
      </c>
      <c r="B81" s="35"/>
      <c r="C81" s="35"/>
      <c r="D81" s="35"/>
      <c r="E81" s="15"/>
      <c r="F81" s="22"/>
    </row>
    <row r="82" spans="1:6" ht="15.75" hidden="1" x14ac:dyDescent="0.25">
      <c r="A82" s="37" t="s">
        <v>38</v>
      </c>
      <c r="B82" s="35"/>
      <c r="C82" s="35"/>
      <c r="D82" s="35"/>
      <c r="E82" s="15"/>
      <c r="F82" s="22"/>
    </row>
    <row r="83" spans="1:6" ht="15.75" hidden="1" x14ac:dyDescent="0.25">
      <c r="A83" s="37" t="s">
        <v>0</v>
      </c>
      <c r="B83" s="35"/>
      <c r="C83" s="35"/>
      <c r="D83" s="35"/>
      <c r="E83" s="15"/>
      <c r="F83" s="22"/>
    </row>
    <row r="84" spans="1:6" ht="15.75" x14ac:dyDescent="0.25">
      <c r="A84" s="29" t="s">
        <v>24</v>
      </c>
      <c r="B84" s="15">
        <f>F84</f>
        <v>0</v>
      </c>
      <c r="C84" s="35">
        <f>'калькуляция с 01.10.2021'!C84+'калькуляция с 01.01.по30.09.21'!C84</f>
        <v>11615.970455279999</v>
      </c>
      <c r="D84" s="35">
        <v>11615.970455279999</v>
      </c>
      <c r="E84" s="15">
        <f t="shared" si="7"/>
        <v>0</v>
      </c>
      <c r="F84" s="22"/>
    </row>
    <row r="85" spans="1:6" ht="15.75" x14ac:dyDescent="0.25">
      <c r="A85" s="29" t="s">
        <v>25</v>
      </c>
      <c r="B85" s="15">
        <f>F85</f>
        <v>0</v>
      </c>
      <c r="C85" s="35">
        <f>'калькуляция с 01.10.2021'!C85+'калькуляция с 01.01.по30.09.21'!C85</f>
        <v>33020.664610679996</v>
      </c>
      <c r="D85" s="35">
        <f>33020.66461068+1714</f>
        <v>34734.664610680004</v>
      </c>
      <c r="E85" s="15">
        <f t="shared" si="7"/>
        <v>-1714.0000000000073</v>
      </c>
      <c r="F85" s="22"/>
    </row>
    <row r="86" spans="1:6" ht="17.25" hidden="1" customHeight="1" x14ac:dyDescent="0.25">
      <c r="A86" s="69" t="s">
        <v>70</v>
      </c>
      <c r="B86" s="15"/>
      <c r="C86" s="35"/>
      <c r="D86" s="15"/>
      <c r="E86" s="15"/>
      <c r="F86" s="22"/>
    </row>
    <row r="87" spans="1:6" ht="25.5" hidden="1" x14ac:dyDescent="0.25">
      <c r="A87" s="70" t="s">
        <v>85</v>
      </c>
      <c r="B87" s="15"/>
      <c r="C87" s="35"/>
      <c r="D87" s="35"/>
      <c r="E87" s="15"/>
      <c r="F87" s="50"/>
    </row>
    <row r="88" spans="1:6" ht="15.75" hidden="1" x14ac:dyDescent="0.25">
      <c r="A88" s="70" t="s">
        <v>37</v>
      </c>
      <c r="B88" s="15"/>
      <c r="C88" s="35"/>
      <c r="D88" s="35"/>
      <c r="E88" s="15"/>
      <c r="F88" s="50"/>
    </row>
    <row r="89" spans="1:6" ht="15.75" hidden="1" x14ac:dyDescent="0.25">
      <c r="A89" s="70" t="s">
        <v>50</v>
      </c>
      <c r="B89" s="15"/>
      <c r="C89" s="35"/>
      <c r="D89" s="35"/>
      <c r="E89" s="15"/>
      <c r="F89" s="50"/>
    </row>
    <row r="90" spans="1:6" ht="15.75" hidden="1" x14ac:dyDescent="0.25">
      <c r="A90" s="70" t="s">
        <v>51</v>
      </c>
      <c r="B90" s="15"/>
      <c r="C90" s="35"/>
      <c r="D90" s="35"/>
      <c r="E90" s="15"/>
      <c r="F90" s="50"/>
    </row>
    <row r="91" spans="1:6" ht="15.75" hidden="1" x14ac:dyDescent="0.25">
      <c r="A91" s="70" t="s">
        <v>76</v>
      </c>
      <c r="B91" s="15"/>
      <c r="C91" s="35"/>
      <c r="D91" s="35"/>
      <c r="E91" s="15"/>
      <c r="F91" s="50"/>
    </row>
    <row r="92" spans="1:6" ht="15.75" hidden="1" x14ac:dyDescent="0.25">
      <c r="A92" s="70" t="s">
        <v>52</v>
      </c>
      <c r="B92" s="15"/>
      <c r="C92" s="35"/>
      <c r="D92" s="35"/>
      <c r="E92" s="15"/>
      <c r="F92" s="50"/>
    </row>
    <row r="93" spans="1:6" ht="15.75" hidden="1" x14ac:dyDescent="0.25">
      <c r="A93" s="70" t="s">
        <v>77</v>
      </c>
      <c r="B93" s="15"/>
      <c r="C93" s="35"/>
      <c r="D93" s="35"/>
      <c r="E93" s="15"/>
      <c r="F93" s="50"/>
    </row>
    <row r="94" spans="1:6" ht="15.75" hidden="1" x14ac:dyDescent="0.25">
      <c r="A94" s="70" t="s">
        <v>53</v>
      </c>
      <c r="B94" s="15"/>
      <c r="C94" s="35"/>
      <c r="D94" s="35"/>
      <c r="E94" s="15"/>
      <c r="F94" s="50"/>
    </row>
    <row r="95" spans="1:6" ht="15.75" hidden="1" x14ac:dyDescent="0.25">
      <c r="A95" s="70" t="s">
        <v>54</v>
      </c>
      <c r="B95" s="15"/>
      <c r="C95" s="35"/>
      <c r="D95" s="35"/>
      <c r="E95" s="15"/>
      <c r="F95" s="50"/>
    </row>
    <row r="96" spans="1:6" ht="15.75" hidden="1" x14ac:dyDescent="0.25">
      <c r="A96" s="70" t="s">
        <v>0</v>
      </c>
      <c r="B96" s="15"/>
      <c r="C96" s="35"/>
      <c r="D96" s="35"/>
      <c r="E96" s="15"/>
      <c r="F96" s="50"/>
    </row>
    <row r="97" spans="1:6" ht="17.25" hidden="1" customHeight="1" x14ac:dyDescent="0.25">
      <c r="A97" s="69" t="s">
        <v>71</v>
      </c>
      <c r="B97" s="15"/>
      <c r="C97" s="35"/>
      <c r="D97" s="15"/>
      <c r="E97" s="15"/>
      <c r="F97" s="22"/>
    </row>
    <row r="98" spans="1:6" ht="30" hidden="1" x14ac:dyDescent="0.25">
      <c r="A98" s="71" t="s">
        <v>86</v>
      </c>
      <c r="B98" s="15"/>
      <c r="C98" s="35"/>
      <c r="D98" s="35"/>
      <c r="E98" s="15"/>
      <c r="F98" s="50"/>
    </row>
    <row r="99" spans="1:6" ht="15.75" hidden="1" x14ac:dyDescent="0.25">
      <c r="A99" s="71" t="s">
        <v>37</v>
      </c>
      <c r="B99" s="15"/>
      <c r="C99" s="35"/>
      <c r="D99" s="35"/>
      <c r="E99" s="15"/>
      <c r="F99" s="50"/>
    </row>
    <row r="100" spans="1:6" ht="30" hidden="1" x14ac:dyDescent="0.25">
      <c r="A100" s="71" t="s">
        <v>55</v>
      </c>
      <c r="B100" s="15"/>
      <c r="C100" s="35"/>
      <c r="D100" s="35"/>
      <c r="E100" s="15"/>
      <c r="F100" s="50"/>
    </row>
    <row r="101" spans="1:6" ht="15.75" hidden="1" x14ac:dyDescent="0.25">
      <c r="A101" s="72" t="s">
        <v>56</v>
      </c>
      <c r="B101" s="15"/>
      <c r="C101" s="35"/>
      <c r="D101" s="35"/>
      <c r="E101" s="15"/>
      <c r="F101" s="50"/>
    </row>
    <row r="102" spans="1:6" ht="15.75" hidden="1" x14ac:dyDescent="0.25">
      <c r="A102" s="72" t="s">
        <v>57</v>
      </c>
      <c r="B102" s="15"/>
      <c r="C102" s="35"/>
      <c r="D102" s="35"/>
      <c r="E102" s="15"/>
      <c r="F102" s="50"/>
    </row>
    <row r="103" spans="1:6" ht="15.75" hidden="1" x14ac:dyDescent="0.25">
      <c r="A103" s="72" t="s">
        <v>58</v>
      </c>
      <c r="B103" s="15"/>
      <c r="C103" s="35"/>
      <c r="D103" s="35"/>
      <c r="E103" s="15"/>
      <c r="F103" s="50"/>
    </row>
    <row r="104" spans="1:6" ht="15.75" hidden="1" x14ac:dyDescent="0.25">
      <c r="A104" s="72" t="s">
        <v>59</v>
      </c>
      <c r="B104" s="15"/>
      <c r="C104" s="35"/>
      <c r="D104" s="35"/>
      <c r="E104" s="15"/>
      <c r="F104" s="50"/>
    </row>
    <row r="105" spans="1:6" ht="15.75" hidden="1" x14ac:dyDescent="0.25">
      <c r="A105" s="72" t="s">
        <v>60</v>
      </c>
      <c r="B105" s="15"/>
      <c r="C105" s="35"/>
      <c r="D105" s="35"/>
      <c r="E105" s="15"/>
      <c r="F105" s="50"/>
    </row>
    <row r="106" spans="1:6" ht="15.75" hidden="1" x14ac:dyDescent="0.25">
      <c r="A106" s="72" t="s">
        <v>61</v>
      </c>
      <c r="B106" s="15"/>
      <c r="C106" s="35"/>
      <c r="D106" s="35"/>
      <c r="E106" s="15"/>
      <c r="F106" s="50"/>
    </row>
    <row r="107" spans="1:6" ht="15.75" hidden="1" x14ac:dyDescent="0.25">
      <c r="A107" s="72" t="s">
        <v>62</v>
      </c>
      <c r="B107" s="15"/>
      <c r="C107" s="35"/>
      <c r="D107" s="35"/>
      <c r="E107" s="15"/>
      <c r="F107" s="50"/>
    </row>
    <row r="108" spans="1:6" ht="15.75" hidden="1" x14ac:dyDescent="0.25">
      <c r="A108" s="73" t="s">
        <v>63</v>
      </c>
      <c r="B108" s="15"/>
      <c r="C108" s="35"/>
      <c r="D108" s="35"/>
      <c r="E108" s="15"/>
      <c r="F108" s="50"/>
    </row>
    <row r="109" spans="1:6" ht="15.75" hidden="1" x14ac:dyDescent="0.25">
      <c r="A109" s="72" t="s">
        <v>64</v>
      </c>
      <c r="B109" s="15"/>
      <c r="C109" s="35"/>
      <c r="D109" s="35"/>
      <c r="E109" s="15"/>
      <c r="F109" s="50"/>
    </row>
    <row r="110" spans="1:6" ht="15.75" hidden="1" x14ac:dyDescent="0.25">
      <c r="A110" s="72" t="s">
        <v>65</v>
      </c>
      <c r="B110" s="15"/>
      <c r="C110" s="35"/>
      <c r="D110" s="35"/>
      <c r="E110" s="15"/>
      <c r="F110" s="50"/>
    </row>
    <row r="111" spans="1:6" ht="15.75" hidden="1" x14ac:dyDescent="0.25">
      <c r="A111" s="72" t="s">
        <v>78</v>
      </c>
      <c r="B111" s="15"/>
      <c r="C111" s="35"/>
      <c r="D111" s="35"/>
      <c r="E111" s="15"/>
      <c r="F111" s="50"/>
    </row>
    <row r="112" spans="1:6" ht="15.75" hidden="1" x14ac:dyDescent="0.25">
      <c r="A112" s="73" t="s">
        <v>66</v>
      </c>
      <c r="B112" s="15"/>
      <c r="C112" s="35"/>
      <c r="D112" s="35"/>
      <c r="E112" s="15"/>
      <c r="F112" s="50"/>
    </row>
    <row r="113" spans="1:7" ht="15.75" hidden="1" x14ac:dyDescent="0.25">
      <c r="A113" s="72" t="s">
        <v>67</v>
      </c>
      <c r="B113" s="15"/>
      <c r="C113" s="35"/>
      <c r="D113" s="35"/>
      <c r="E113" s="15"/>
      <c r="F113" s="50"/>
    </row>
    <row r="114" spans="1:7" ht="25.5" hidden="1" x14ac:dyDescent="0.25">
      <c r="A114" s="72" t="s">
        <v>79</v>
      </c>
      <c r="B114" s="15"/>
      <c r="C114" s="35"/>
      <c r="D114" s="35"/>
      <c r="E114" s="15"/>
      <c r="F114" s="50"/>
    </row>
    <row r="115" spans="1:7" ht="15.75" hidden="1" x14ac:dyDescent="0.25">
      <c r="A115" s="73" t="s">
        <v>68</v>
      </c>
      <c r="B115" s="15"/>
      <c r="C115" s="35"/>
      <c r="D115" s="35"/>
      <c r="E115" s="15"/>
      <c r="F115" s="50"/>
    </row>
    <row r="116" spans="1:7" ht="16.5" hidden="1" customHeight="1" x14ac:dyDescent="0.25">
      <c r="A116" s="73" t="s">
        <v>69</v>
      </c>
      <c r="B116" s="15"/>
      <c r="C116" s="35"/>
      <c r="D116" s="35"/>
      <c r="E116" s="15"/>
      <c r="F116" s="50"/>
    </row>
    <row r="117" spans="1:7" ht="45.75" customHeight="1" x14ac:dyDescent="0.25">
      <c r="A117" s="132" t="s">
        <v>180</v>
      </c>
      <c r="B117" s="133"/>
      <c r="C117" s="154">
        <f>SUM(C118+C119)</f>
        <v>2589.5782800000002</v>
      </c>
      <c r="D117" s="154">
        <f t="shared" ref="D117:E117" si="8">SUM(D118+D119)</f>
        <v>2259.0299999999997</v>
      </c>
      <c r="E117" s="134">
        <f t="shared" si="8"/>
        <v>0</v>
      </c>
      <c r="F117" s="50"/>
    </row>
    <row r="118" spans="1:7" ht="17.25" customHeight="1" x14ac:dyDescent="0.25">
      <c r="A118" s="135" t="s">
        <v>181</v>
      </c>
      <c r="B118" s="136"/>
      <c r="C118" s="34">
        <f>'калькуляция с 01.01.по30.09.21'!C59</f>
        <v>2589.5782800000002</v>
      </c>
      <c r="D118" s="155">
        <v>1027.51</v>
      </c>
      <c r="E118" s="15"/>
      <c r="F118" s="50"/>
    </row>
    <row r="119" spans="1:7" ht="15.75" customHeight="1" x14ac:dyDescent="0.25">
      <c r="A119" s="135" t="s">
        <v>182</v>
      </c>
      <c r="B119" s="136"/>
      <c r="C119" s="137"/>
      <c r="D119" s="155">
        <v>1231.52</v>
      </c>
      <c r="E119" s="15"/>
      <c r="F119" s="50"/>
    </row>
    <row r="120" spans="1:7" ht="15" customHeight="1" x14ac:dyDescent="0.25">
      <c r="A120" s="33" t="s">
        <v>35</v>
      </c>
      <c r="B120" s="17">
        <f>B85+B84+B64+B35+B9</f>
        <v>995.51751791999993</v>
      </c>
      <c r="C120" s="17">
        <f>C85+C84+C64+C35+C9+C117</f>
        <v>123109.80497198272</v>
      </c>
      <c r="D120" s="156">
        <f>D85+D84+D64+D35+D9+D118+D119</f>
        <v>78381.617644329672</v>
      </c>
      <c r="E120" s="15">
        <f t="shared" si="7"/>
        <v>44728.187327653053</v>
      </c>
      <c r="F120" s="52"/>
      <c r="G120" s="17">
        <v>30151.506310000001</v>
      </c>
    </row>
    <row r="121" spans="1:7" ht="16.5" customHeight="1" x14ac:dyDescent="0.25">
      <c r="A121" s="29" t="s">
        <v>27</v>
      </c>
      <c r="B121" s="28">
        <f>'тариф с 01.10.2021'!$B$33</f>
        <v>786.3</v>
      </c>
      <c r="C121" s="28">
        <f>'тариф с 01.10.2021'!$B$33</f>
        <v>786.3</v>
      </c>
      <c r="D121" s="28"/>
      <c r="E121" s="54"/>
      <c r="F121" s="14"/>
    </row>
    <row r="122" spans="1:7" ht="15.75" x14ac:dyDescent="0.25">
      <c r="A122" s="153" t="s">
        <v>39</v>
      </c>
      <c r="B122" s="41">
        <f>B120/B121</f>
        <v>1.2660784915681038</v>
      </c>
      <c r="C122" s="41">
        <f>C120/C121/12</f>
        <v>13.047374302851194</v>
      </c>
      <c r="D122" s="41"/>
      <c r="E122" s="43"/>
      <c r="F122" s="19"/>
    </row>
    <row r="123" spans="1:7" ht="15.75" x14ac:dyDescent="0.25">
      <c r="A123" s="42"/>
      <c r="B123" s="49"/>
      <c r="C123" s="49"/>
      <c r="D123" s="49"/>
      <c r="E123" s="49"/>
      <c r="F123" s="19"/>
    </row>
    <row r="124" spans="1:7" ht="15.75" hidden="1" x14ac:dyDescent="0.25">
      <c r="A124" s="42"/>
      <c r="B124" s="49"/>
      <c r="C124" s="49"/>
      <c r="D124" s="49"/>
      <c r="E124" s="49"/>
      <c r="F124" s="19"/>
    </row>
    <row r="125" spans="1:7" ht="18.75" hidden="1" x14ac:dyDescent="0.3">
      <c r="A125" s="45" t="s">
        <v>48</v>
      </c>
      <c r="B125" s="1" t="s">
        <v>32</v>
      </c>
      <c r="C125" s="46"/>
      <c r="D125" s="46"/>
      <c r="E125" s="46"/>
      <c r="F125" s="1"/>
    </row>
    <row r="126" spans="1:7" ht="15.75" x14ac:dyDescent="0.25">
      <c r="A126" s="30"/>
      <c r="B126" s="48"/>
      <c r="C126" s="48"/>
      <c r="D126" s="48"/>
      <c r="E126" s="48"/>
    </row>
    <row r="127" spans="1:7" ht="15.75" x14ac:dyDescent="0.25">
      <c r="A127" s="13" t="s">
        <v>31</v>
      </c>
      <c r="B127" s="44" t="s">
        <v>46</v>
      </c>
      <c r="D127" s="44" t="s">
        <v>33</v>
      </c>
      <c r="E127" s="44"/>
    </row>
    <row r="128" spans="1:7" ht="15.75" x14ac:dyDescent="0.25">
      <c r="A128" s="30"/>
      <c r="B128" s="48"/>
      <c r="C128" s="48"/>
      <c r="D128" s="48"/>
      <c r="E128" s="48"/>
    </row>
  </sheetData>
  <mergeCells count="6">
    <mergeCell ref="A1:D1"/>
    <mergeCell ref="A3:D3"/>
    <mergeCell ref="B4:D4"/>
    <mergeCell ref="A5:A7"/>
    <mergeCell ref="B5:C5"/>
    <mergeCell ref="A2:D2"/>
  </mergeCells>
  <pageMargins left="0.7" right="0.7" top="0.75" bottom="0.75" header="0.3" footer="0.3"/>
  <pageSetup paperSize="9" scale="7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89" zoomScaleNormal="100" workbookViewId="0">
      <selection activeCell="B85" sqref="B85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38" t="s">
        <v>190</v>
      </c>
      <c r="B3" s="138"/>
      <c r="C3" s="138"/>
      <c r="D3" s="138"/>
      <c r="E3" s="138"/>
      <c r="F3" s="20"/>
    </row>
    <row r="4" spans="1:10" ht="22.5" customHeight="1" x14ac:dyDescent="0.25">
      <c r="A4" s="57" t="s">
        <v>1</v>
      </c>
      <c r="B4" s="139" t="str">
        <f>тариф!B2</f>
        <v>Тимирязева, 27 /1</v>
      </c>
      <c r="C4" s="140"/>
      <c r="D4" s="140"/>
      <c r="E4" s="141"/>
      <c r="F4" s="25"/>
    </row>
    <row r="5" spans="1:10" ht="20.25" customHeight="1" x14ac:dyDescent="0.25">
      <c r="A5" s="142" t="s">
        <v>30</v>
      </c>
      <c r="B5" s="145" t="s">
        <v>44</v>
      </c>
      <c r="C5" s="146"/>
      <c r="D5" s="51" t="s">
        <v>45</v>
      </c>
      <c r="E5" s="51" t="s">
        <v>72</v>
      </c>
    </row>
    <row r="6" spans="1:10" ht="18" customHeight="1" x14ac:dyDescent="0.25">
      <c r="A6" s="143"/>
      <c r="B6" s="24" t="s">
        <v>43</v>
      </c>
      <c r="C6" s="24" t="s">
        <v>189</v>
      </c>
      <c r="D6" s="24" t="s">
        <v>189</v>
      </c>
      <c r="E6" s="24" t="s">
        <v>73</v>
      </c>
      <c r="F6" s="26"/>
    </row>
    <row r="7" spans="1:10" ht="15.75" x14ac:dyDescent="0.25">
      <c r="A7" s="144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1000.7941192200879</v>
      </c>
      <c r="C9" s="15">
        <f>C10+C15+C20+C25+C30</f>
        <v>3002.382357660264</v>
      </c>
      <c r="D9" s="15">
        <f t="shared" ref="D9" si="0">D10+D15+D20+D25+D30</f>
        <v>0</v>
      </c>
      <c r="E9" s="15">
        <f>C9-D9</f>
        <v>3002.382357660264</v>
      </c>
      <c r="F9" s="23">
        <f>тариф!C5</f>
        <v>491.66976</v>
      </c>
      <c r="G9" s="106"/>
    </row>
    <row r="10" spans="1:10" ht="63.75" customHeight="1" x14ac:dyDescent="0.25">
      <c r="A10" s="31" t="s">
        <v>3</v>
      </c>
      <c r="B10" s="35">
        <f>F10</f>
        <v>144.17879868</v>
      </c>
      <c r="C10" s="35">
        <f>B10*3</f>
        <v>432.53639604</v>
      </c>
      <c r="D10" s="35">
        <f>SUM(D11:D14)</f>
        <v>0</v>
      </c>
      <c r="E10" s="15">
        <f t="shared" ref="E10:E72" si="1">C10-D10</f>
        <v>432.53639604</v>
      </c>
      <c r="F10" s="22">
        <f>'тариф с 01.10.2021'!C4</f>
        <v>144.17879868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64" si="2">B11*3</f>
        <v>0</v>
      </c>
      <c r="D11" s="35">
        <v>0</v>
      </c>
      <c r="E11" s="15"/>
      <c r="F11" s="22">
        <f>G14+H14</f>
        <v>47.8058522973066</v>
      </c>
      <c r="G11" s="18">
        <v>20387</v>
      </c>
      <c r="H11" s="1">
        <v>22182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22">
        <f>F11*0.302</f>
        <v>14.437367393786593</v>
      </c>
      <c r="G12" s="84">
        <f>('ТХ МКД'!B7+'ТХ МКД'!B28*0.5)*0.0111/1000</f>
        <v>1.3045830000000001E-2</v>
      </c>
      <c r="H12" s="84">
        <f>('ТХ МКД'!B7+'ТХ МКД'!B28*0.5)*0.00539/1000</f>
        <v>6.3348669999999992E-3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22">
        <f>F10-F11-F12</f>
        <v>81.935578988906812</v>
      </c>
      <c r="G13" s="84">
        <f>G12*0.109</f>
        <v>1.4219954700000002E-3</v>
      </c>
      <c r="H13" s="84">
        <f>H12*0.1339</f>
        <v>8.4823869129999985E-4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28.990221646890003</v>
      </c>
      <c r="H14" s="101">
        <f>H11*H13</f>
        <v>18.815630650416598</v>
      </c>
    </row>
    <row r="15" spans="1:10" ht="33.75" customHeight="1" x14ac:dyDescent="0.25">
      <c r="A15" s="31" t="s">
        <v>4</v>
      </c>
      <c r="B15" s="35">
        <f>F15</f>
        <v>351.14113620000001</v>
      </c>
      <c r="C15" s="35">
        <f t="shared" si="2"/>
        <v>1053.4234086000001</v>
      </c>
      <c r="D15" s="35">
        <f>SUM(D16:D19)</f>
        <v>0</v>
      </c>
      <c r="E15" s="15">
        <f t="shared" si="1"/>
        <v>1053.4234086000001</v>
      </c>
      <c r="F15" s="22">
        <f>'тариф с 01.10.2021'!C5</f>
        <v>351.14113620000001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170.71281481215152</v>
      </c>
      <c r="G16" s="1">
        <v>22182</v>
      </c>
      <c r="H16" s="1">
        <v>20387</v>
      </c>
      <c r="I16" s="1">
        <v>17438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51.55527007326976</v>
      </c>
      <c r="G17" s="84">
        <f>('ТХ МКД'!B7+'ТХ МКД'!B28*0.5)*0.0018/1000</f>
        <v>2.11554E-3</v>
      </c>
      <c r="H17" s="84">
        <f>('ТХ МКД'!B7+'ТХ МКД'!B28*0.5)*0.02295/1000</f>
        <v>2.6973134999999999E-2</v>
      </c>
      <c r="I17" s="84">
        <f>('ТХ МКД'!B7+'ТХ МКД'!B28*0.5)*0.02295/1000</f>
        <v>2.6973134999999999E-2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128.87305131457873</v>
      </c>
      <c r="G18" s="84">
        <f>G17*0.5079</f>
        <v>1.0744827660000001E-3</v>
      </c>
      <c r="H18" s="84">
        <f>H17*0.2671</f>
        <v>7.2045243585E-3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23.834176715412003</v>
      </c>
      <c r="H19" s="101">
        <f>H16*H18</f>
        <v>146.87863809673951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67.333070640000003</v>
      </c>
      <c r="C20" s="35">
        <f t="shared" si="2"/>
        <v>201.99921191999999</v>
      </c>
      <c r="D20" s="35">
        <f>SUM(D21:D24)</f>
        <v>0</v>
      </c>
      <c r="E20" s="15">
        <f t="shared" si="1"/>
        <v>201.99921191999999</v>
      </c>
      <c r="F20" s="22">
        <f>'тариф с 01.10.2021'!C6</f>
        <v>67.333070640000003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22">
        <f>G24</f>
        <v>25.3624544609856</v>
      </c>
      <c r="G21" s="1">
        <v>20387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22">
        <f>F21*0.302</f>
        <v>7.6594612472176511</v>
      </c>
      <c r="G22" s="84">
        <f>('ТХ МКД'!B7+'ТХ МКД'!B28*0.5)*0.00888/1000</f>
        <v>1.0436664E-2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22">
        <f>F20-F21-F22</f>
        <v>34.31115493179675</v>
      </c>
      <c r="G23" s="84">
        <f>G22*0.1192</f>
        <v>1.2440503488E-3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25.3624544609856</v>
      </c>
    </row>
    <row r="25" spans="1:9" ht="15.75" x14ac:dyDescent="0.25">
      <c r="A25" s="31" t="s">
        <v>6</v>
      </c>
      <c r="B25" s="35">
        <f>F25</f>
        <v>75.5804123000879</v>
      </c>
      <c r="C25" s="35">
        <f t="shared" si="2"/>
        <v>226.74123690026369</v>
      </c>
      <c r="D25" s="35">
        <f>SUM(D26:D29)</f>
        <v>0</v>
      </c>
      <c r="E25" s="15">
        <f t="shared" si="1"/>
        <v>226.74123690026369</v>
      </c>
      <c r="F25" s="22">
        <f>'тариф с 01.10.2021'!C7</f>
        <v>75.5804123000879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50.68395558000001</v>
      </c>
      <c r="G26" s="1">
        <v>12822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15.306554585160002</v>
      </c>
      <c r="G27" s="84">
        <f>'ТХ МКД'!B27*0.0263/1000</f>
        <v>3.9528900000000006E-3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9.5899021349278879</v>
      </c>
      <c r="G28" s="101">
        <f>G26*G27</f>
        <v>50.68395558000001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362.56070140000003</v>
      </c>
      <c r="C30" s="35">
        <f t="shared" si="2"/>
        <v>1087.6821042000001</v>
      </c>
      <c r="D30" s="35">
        <f>SUM(D31:D34)</f>
        <v>0</v>
      </c>
      <c r="E30" s="15">
        <f t="shared" si="1"/>
        <v>1087.6821042000001</v>
      </c>
      <c r="F30" s="22">
        <f>'тариф с 01.10.2021'!C8</f>
        <v>362.56070140000003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48.217171174130002</v>
      </c>
      <c r="G31" s="1">
        <v>20387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14.56158569458726</v>
      </c>
      <c r="G32" s="84">
        <f>'ТХ МКД'!B21/1000*0.0763</f>
        <v>1.5298150000000002E-2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299.78194453128276</v>
      </c>
      <c r="G33" s="84">
        <f>G32*0.1546</f>
        <v>2.3650939899999999E-3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48.217171174130002</v>
      </c>
    </row>
    <row r="35" spans="1:8" ht="31.5" x14ac:dyDescent="0.25">
      <c r="A35" s="29" t="s">
        <v>8</v>
      </c>
      <c r="B35" s="15">
        <f>B36+B41+B46+B51+B56+B58+B60+B62</f>
        <v>3878.0507345793112</v>
      </c>
      <c r="C35" s="35">
        <f t="shared" si="2"/>
        <v>11634.152203737933</v>
      </c>
      <c r="D35" s="15">
        <f t="shared" ref="D35" si="3">D36+D41+D46+D51+D56+D58+D60+D62</f>
        <v>0</v>
      </c>
      <c r="E35" s="15">
        <f t="shared" si="1"/>
        <v>11634.152203737933</v>
      </c>
      <c r="F35" s="23">
        <f>тариф!C12</f>
        <v>1841.9984399999998</v>
      </c>
      <c r="G35" s="103"/>
    </row>
    <row r="36" spans="1:8" ht="31.5" customHeight="1" x14ac:dyDescent="0.25">
      <c r="A36" s="31" t="s">
        <v>9</v>
      </c>
      <c r="B36" s="35">
        <f>F36</f>
        <v>1318.37159688</v>
      </c>
      <c r="C36" s="35">
        <f t="shared" si="2"/>
        <v>3955.1147906400001</v>
      </c>
      <c r="D36" s="35">
        <f>SUM(D37:D40)</f>
        <v>0</v>
      </c>
      <c r="E36" s="15">
        <f t="shared" si="1"/>
        <v>3955.1147906400001</v>
      </c>
      <c r="F36" s="22">
        <f>'тариф с 01.10.2021'!C10</f>
        <v>1318.37159688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si="2"/>
        <v>0</v>
      </c>
      <c r="D37" s="35">
        <v>0</v>
      </c>
      <c r="E37" s="15"/>
      <c r="F37" s="22">
        <f>G40+H40</f>
        <v>350.84303206324665</v>
      </c>
      <c r="G37" s="1">
        <v>23336</v>
      </c>
      <c r="H37" s="1">
        <v>23336</v>
      </c>
    </row>
    <row r="38" spans="1:8" ht="15.75" x14ac:dyDescent="0.25">
      <c r="A38" s="37" t="s">
        <v>37</v>
      </c>
      <c r="B38" s="35"/>
      <c r="C38" s="35">
        <f t="shared" si="2"/>
        <v>0</v>
      </c>
      <c r="D38" s="35">
        <v>0</v>
      </c>
      <c r="E38" s="15"/>
      <c r="F38" s="22">
        <f>F37*0.302</f>
        <v>105.95459568310049</v>
      </c>
      <c r="G38" s="84">
        <f>'ТХ МКД'!B14/325</f>
        <v>3.6923076923076927E-2</v>
      </c>
      <c r="H38" s="84">
        <f>('ТХ МКД'!B7+'ТХ МКД'!B28*0.5)*0.01631/1000</f>
        <v>1.9169143000000003E-2</v>
      </c>
    </row>
    <row r="39" spans="1:8" ht="15.75" x14ac:dyDescent="0.25">
      <c r="A39" s="37" t="s">
        <v>38</v>
      </c>
      <c r="B39" s="35"/>
      <c r="C39" s="35">
        <f t="shared" si="2"/>
        <v>0</v>
      </c>
      <c r="D39" s="35">
        <v>0</v>
      </c>
      <c r="E39" s="15"/>
      <c r="F39" s="22">
        <f>F36-F37-F38</f>
        <v>861.57396913365278</v>
      </c>
      <c r="G39" s="84">
        <f>G38*0.312746</f>
        <v>1.1547544615384618E-2</v>
      </c>
      <c r="H39" s="19">
        <f>H38*0.1819</f>
        <v>3.4868671117000006E-3</v>
      </c>
    </row>
    <row r="40" spans="1:8" ht="15.75" x14ac:dyDescent="0.25">
      <c r="A40" s="37" t="s">
        <v>0</v>
      </c>
      <c r="B40" s="35"/>
      <c r="C40" s="35">
        <f t="shared" si="2"/>
        <v>0</v>
      </c>
      <c r="D40" s="35">
        <v>0</v>
      </c>
      <c r="E40" s="15"/>
      <c r="F40" s="22"/>
      <c r="G40" s="101">
        <f>G37*G39</f>
        <v>269.47350114461545</v>
      </c>
      <c r="H40" s="101">
        <f>H37*H39</f>
        <v>81.369530918631213</v>
      </c>
    </row>
    <row r="41" spans="1:8" ht="15.75" x14ac:dyDescent="0.25">
      <c r="A41" s="31" t="s">
        <v>10</v>
      </c>
      <c r="B41" s="35">
        <f>F41</f>
        <v>721.39030595999998</v>
      </c>
      <c r="C41" s="35">
        <f t="shared" si="2"/>
        <v>2164.1709178800002</v>
      </c>
      <c r="D41" s="35">
        <f>SUM(D42:D45)</f>
        <v>0</v>
      </c>
      <c r="E41" s="15">
        <f t="shared" si="1"/>
        <v>2164.1709178800002</v>
      </c>
      <c r="F41" s="22">
        <f>'тариф с 01.10.2021'!C11</f>
        <v>721.39030595999998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2"/>
        <v>0</v>
      </c>
      <c r="D42" s="35">
        <v>0</v>
      </c>
      <c r="E42" s="15"/>
      <c r="F42" s="22">
        <f>G45</f>
        <v>219.90668231179487</v>
      </c>
      <c r="G42" s="1">
        <v>23336</v>
      </c>
    </row>
    <row r="43" spans="1:8" ht="15.75" x14ac:dyDescent="0.25">
      <c r="A43" s="37" t="s">
        <v>37</v>
      </c>
      <c r="B43" s="35"/>
      <c r="C43" s="35">
        <f t="shared" si="2"/>
        <v>0</v>
      </c>
      <c r="D43" s="35">
        <v>0</v>
      </c>
      <c r="E43" s="15"/>
      <c r="F43" s="22">
        <f>F42*0.302</f>
        <v>66.411818058162041</v>
      </c>
      <c r="G43" s="84">
        <f>('ТХ МКД'!B7+'ТХ МКД'!B28*0.5)/39000</f>
        <v>3.0135897435897434E-2</v>
      </c>
    </row>
    <row r="44" spans="1:8" ht="15.75" x14ac:dyDescent="0.25">
      <c r="A44" s="37" t="s">
        <v>38</v>
      </c>
      <c r="B44" s="35"/>
      <c r="C44" s="35">
        <f t="shared" si="2"/>
        <v>0</v>
      </c>
      <c r="D44" s="35">
        <v>0</v>
      </c>
      <c r="E44" s="15"/>
      <c r="F44" s="22">
        <f>F41-F42-F43</f>
        <v>435.07180559004308</v>
      </c>
      <c r="G44" s="84">
        <f>G43*0.3127</f>
        <v>9.4234951282051276E-3</v>
      </c>
    </row>
    <row r="45" spans="1:8" ht="15.75" x14ac:dyDescent="0.25">
      <c r="A45" s="37" t="s">
        <v>0</v>
      </c>
      <c r="B45" s="35"/>
      <c r="C45" s="35">
        <f t="shared" si="2"/>
        <v>0</v>
      </c>
      <c r="D45" s="35">
        <v>0</v>
      </c>
      <c r="E45" s="15"/>
      <c r="F45" s="22"/>
      <c r="G45" s="101">
        <f>G42*G44</f>
        <v>219.90668231179487</v>
      </c>
    </row>
    <row r="46" spans="1:8" ht="15.75" x14ac:dyDescent="0.25">
      <c r="A46" s="31" t="s">
        <v>11</v>
      </c>
      <c r="B46" s="35">
        <f>F46</f>
        <v>230.86329021931181</v>
      </c>
      <c r="C46" s="35">
        <f t="shared" si="2"/>
        <v>692.58987065793542</v>
      </c>
      <c r="D46" s="35">
        <f>SUM(D47:D50)</f>
        <v>0</v>
      </c>
      <c r="E46" s="15">
        <f t="shared" si="1"/>
        <v>692.58987065793542</v>
      </c>
      <c r="F46" s="22">
        <f>'тариф с 01.10.2021'!C12</f>
        <v>230.86329021931181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2"/>
        <v>0</v>
      </c>
      <c r="D47" s="35">
        <v>0</v>
      </c>
      <c r="E47" s="15"/>
      <c r="F47" s="22">
        <f>G49</f>
        <v>118.304</v>
      </c>
      <c r="G47" s="1">
        <v>22182</v>
      </c>
    </row>
    <row r="48" spans="1:8" ht="15.75" x14ac:dyDescent="0.25">
      <c r="A48" s="37" t="s">
        <v>37</v>
      </c>
      <c r="B48" s="35"/>
      <c r="C48" s="35">
        <f t="shared" si="2"/>
        <v>0</v>
      </c>
      <c r="D48" s="35">
        <v>0</v>
      </c>
      <c r="E48" s="15"/>
      <c r="F48" s="22">
        <f>F47*0.302</f>
        <v>35.727807999999996</v>
      </c>
      <c r="G48" s="84">
        <f>'ТХ МКД'!B16/2250</f>
        <v>5.3333333333333332E-3</v>
      </c>
    </row>
    <row r="49" spans="1:7" ht="15.75" x14ac:dyDescent="0.25">
      <c r="A49" s="37" t="s">
        <v>38</v>
      </c>
      <c r="B49" s="35"/>
      <c r="C49" s="35">
        <f t="shared" si="2"/>
        <v>0</v>
      </c>
      <c r="D49" s="35">
        <v>0</v>
      </c>
      <c r="E49" s="15"/>
      <c r="F49" s="22">
        <f>F46-F47-F48</f>
        <v>76.831482219311809</v>
      </c>
      <c r="G49" s="101">
        <f>G47*G48</f>
        <v>118.304</v>
      </c>
    </row>
    <row r="50" spans="1:7" ht="15.75" x14ac:dyDescent="0.25">
      <c r="A50" s="37" t="s">
        <v>0</v>
      </c>
      <c r="B50" s="35"/>
      <c r="C50" s="35">
        <f t="shared" si="2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198.69046151999999</v>
      </c>
      <c r="C51" s="35">
        <f t="shared" si="2"/>
        <v>596.07138455999996</v>
      </c>
      <c r="D51" s="35">
        <f>SUM(D52:D55)</f>
        <v>0</v>
      </c>
      <c r="E51" s="15">
        <f t="shared" si="1"/>
        <v>596.07138455999996</v>
      </c>
      <c r="F51" s="22">
        <f>'тариф с 01.10.2021'!C13</f>
        <v>198.69046151999999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2"/>
        <v>0</v>
      </c>
      <c r="D52" s="35"/>
      <c r="E52" s="15"/>
      <c r="F52" s="22">
        <f>G55</f>
        <v>65.481263999999996</v>
      </c>
      <c r="G52" s="1">
        <v>22182</v>
      </c>
    </row>
    <row r="53" spans="1:7" ht="15.75" x14ac:dyDescent="0.25">
      <c r="A53" s="37" t="s">
        <v>37</v>
      </c>
      <c r="B53" s="35"/>
      <c r="C53" s="35">
        <f t="shared" si="2"/>
        <v>0</v>
      </c>
      <c r="D53" s="35"/>
      <c r="E53" s="15"/>
      <c r="F53" s="22">
        <f>F52*0.302</f>
        <v>19.775341727999997</v>
      </c>
      <c r="G53" s="1">
        <f>'ТХ МКД'!B12/1250</f>
        <v>9.5999999999999992E-3</v>
      </c>
    </row>
    <row r="54" spans="1:7" ht="15.75" x14ac:dyDescent="0.25">
      <c r="A54" s="37" t="s">
        <v>38</v>
      </c>
      <c r="B54" s="35"/>
      <c r="C54" s="35">
        <f t="shared" si="2"/>
        <v>0</v>
      </c>
      <c r="D54" s="35"/>
      <c r="E54" s="15"/>
      <c r="F54" s="22">
        <f>F51-F52-F53</f>
        <v>113.43385579199997</v>
      </c>
      <c r="G54" s="84">
        <f>G53*0.3075</f>
        <v>2.9519999999999998E-3</v>
      </c>
    </row>
    <row r="55" spans="1:7" ht="15.75" x14ac:dyDescent="0.25">
      <c r="A55" s="37" t="s">
        <v>0</v>
      </c>
      <c r="B55" s="35"/>
      <c r="C55" s="35">
        <f t="shared" si="2"/>
        <v>0</v>
      </c>
      <c r="D55" s="35"/>
      <c r="E55" s="15"/>
      <c r="F55" s="22"/>
      <c r="G55" s="101">
        <f>G52*G54</f>
        <v>65.481263999999996</v>
      </c>
    </row>
    <row r="56" spans="1:7" ht="31.5" x14ac:dyDescent="0.25">
      <c r="A56" s="31" t="s">
        <v>13</v>
      </c>
      <c r="B56" s="35">
        <f>B57</f>
        <v>0</v>
      </c>
      <c r="C56" s="35">
        <f t="shared" si="2"/>
        <v>0</v>
      </c>
      <c r="D56" s="35">
        <f>D57</f>
        <v>0</v>
      </c>
      <c r="E56" s="15">
        <f>C56-D56</f>
        <v>0</v>
      </c>
      <c r="F56" s="22"/>
    </row>
    <row r="57" spans="1:7" ht="15.75" hidden="1" x14ac:dyDescent="0.25">
      <c r="A57" s="38" t="s">
        <v>84</v>
      </c>
      <c r="B57" s="35">
        <f>F56</f>
        <v>0</v>
      </c>
      <c r="C57" s="35">
        <f t="shared" si="2"/>
        <v>0</v>
      </c>
      <c r="D57" s="35"/>
      <c r="E57" s="15"/>
      <c r="F57" s="22"/>
    </row>
    <row r="58" spans="1:7" ht="31.5" x14ac:dyDescent="0.25">
      <c r="A58" s="31" t="s">
        <v>167</v>
      </c>
      <c r="B58" s="35">
        <f>B59</f>
        <v>875.7023099999999</v>
      </c>
      <c r="C58" s="35">
        <f t="shared" si="2"/>
        <v>2627.1069299999999</v>
      </c>
      <c r="D58" s="35">
        <f>D59</f>
        <v>0</v>
      </c>
      <c r="E58" s="15">
        <f t="shared" si="1"/>
        <v>2627.1069299999999</v>
      </c>
      <c r="F58" s="22">
        <f>'тариф с 01.10.2021'!C15</f>
        <v>875.7023099999999</v>
      </c>
    </row>
    <row r="59" spans="1:7" ht="18.75" customHeight="1" x14ac:dyDescent="0.25">
      <c r="A59" s="38" t="s">
        <v>188</v>
      </c>
      <c r="B59" s="35">
        <f>F58</f>
        <v>875.7023099999999</v>
      </c>
      <c r="C59" s="35">
        <f t="shared" si="2"/>
        <v>2627.1069299999999</v>
      </c>
      <c r="D59" s="35"/>
      <c r="E59" s="15"/>
      <c r="F59" s="22"/>
    </row>
    <row r="60" spans="1:7" ht="33.75" customHeight="1" x14ac:dyDescent="0.25">
      <c r="A60" s="31" t="s">
        <v>168</v>
      </c>
      <c r="B60" s="35">
        <f>B61</f>
        <v>0</v>
      </c>
      <c r="C60" s="35">
        <f t="shared" si="2"/>
        <v>0</v>
      </c>
      <c r="D60" s="35"/>
      <c r="E60" s="15">
        <f t="shared" si="1"/>
        <v>0</v>
      </c>
      <c r="F60" s="22"/>
    </row>
    <row r="61" spans="1:7" ht="36" hidden="1" customHeight="1" x14ac:dyDescent="0.25">
      <c r="A61" s="38" t="s">
        <v>40</v>
      </c>
      <c r="B61" s="35"/>
      <c r="C61" s="35">
        <f t="shared" si="2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169</v>
      </c>
      <c r="B62" s="35">
        <f>B63</f>
        <v>533.03276999999991</v>
      </c>
      <c r="C62" s="35">
        <f t="shared" si="2"/>
        <v>1599.0983099999999</v>
      </c>
      <c r="D62" s="35">
        <f>D63</f>
        <v>0</v>
      </c>
      <c r="E62" s="15">
        <f t="shared" si="1"/>
        <v>1599.0983099999999</v>
      </c>
      <c r="F62" s="22">
        <f>'тариф с 01.10.2021'!C17</f>
        <v>533.03276999999991</v>
      </c>
    </row>
    <row r="63" spans="1:7" ht="33" customHeight="1" x14ac:dyDescent="0.25">
      <c r="A63" s="39" t="s">
        <v>40</v>
      </c>
      <c r="B63" s="35">
        <f>F62</f>
        <v>533.03276999999991</v>
      </c>
      <c r="C63" s="35">
        <f t="shared" si="2"/>
        <v>1599.0983099999999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3569.9512882081713</v>
      </c>
      <c r="C64" s="15">
        <f t="shared" si="2"/>
        <v>10709.853864624514</v>
      </c>
      <c r="D64" s="16">
        <f t="shared" ref="D64" si="4">D65+D66+D71+D72+D77+D79</f>
        <v>0</v>
      </c>
      <c r="E64" s="15">
        <f t="shared" si="1"/>
        <v>10709.853864624514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>B65*3</f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1173.7067995365569</v>
      </c>
      <c r="C66" s="35">
        <f t="shared" ref="C66:C85" si="5">B66*3</f>
        <v>3521.1203986096707</v>
      </c>
      <c r="D66" s="35">
        <f>SUM(D67:D70)</f>
        <v>0</v>
      </c>
      <c r="E66" s="15">
        <f t="shared" si="1"/>
        <v>3521.1203986096707</v>
      </c>
      <c r="F66" s="22">
        <f>'тариф с 01.10.2021'!C22</f>
        <v>1173.7067995365569</v>
      </c>
      <c r="G66" s="107" t="s">
        <v>145</v>
      </c>
    </row>
    <row r="67" spans="1:7" ht="15.75" x14ac:dyDescent="0.25">
      <c r="A67" s="37" t="s">
        <v>147</v>
      </c>
      <c r="B67" s="35">
        <f>F67</f>
        <v>764.60638857142851</v>
      </c>
      <c r="C67" s="35">
        <f t="shared" si="5"/>
        <v>2293.8191657142856</v>
      </c>
      <c r="D67" s="35"/>
      <c r="E67" s="15"/>
      <c r="F67" s="22">
        <f>G69</f>
        <v>764.60638857142851</v>
      </c>
      <c r="G67" s="1">
        <v>12822</v>
      </c>
    </row>
    <row r="68" spans="1:7" ht="15.75" x14ac:dyDescent="0.25">
      <c r="A68" s="37" t="s">
        <v>37</v>
      </c>
      <c r="B68" s="35">
        <f t="shared" ref="B68:B69" si="6">F68</f>
        <v>230.91112934857139</v>
      </c>
      <c r="C68" s="35">
        <f t="shared" si="5"/>
        <v>692.73338804571415</v>
      </c>
      <c r="D68" s="35"/>
      <c r="E68" s="15"/>
      <c r="F68" s="22">
        <f>F67*0.302</f>
        <v>230.91112934857139</v>
      </c>
      <c r="G68" s="105">
        <f>'ТХ МКД'!B30/5250</f>
        <v>5.9632380952380951E-2</v>
      </c>
    </row>
    <row r="69" spans="1:7" ht="15.75" x14ac:dyDescent="0.25">
      <c r="A69" s="37" t="s">
        <v>38</v>
      </c>
      <c r="B69" s="35">
        <f t="shared" si="6"/>
        <v>178.189281616557</v>
      </c>
      <c r="C69" s="35">
        <f t="shared" si="5"/>
        <v>534.56784484967102</v>
      </c>
      <c r="D69" s="35"/>
      <c r="E69" s="15"/>
      <c r="F69" s="22">
        <f>F66-F67-F68</f>
        <v>178.189281616557</v>
      </c>
      <c r="G69" s="101">
        <f>G67*G68</f>
        <v>764.60638857142851</v>
      </c>
    </row>
    <row r="70" spans="1:7" ht="15.75" x14ac:dyDescent="0.25">
      <c r="A70" s="37" t="s">
        <v>0</v>
      </c>
      <c r="B70" s="35"/>
      <c r="C70" s="35">
        <f t="shared" si="5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5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1160.7640087516143</v>
      </c>
      <c r="C72" s="35">
        <f t="shared" si="5"/>
        <v>3482.2920262548428</v>
      </c>
      <c r="D72" s="35">
        <f>SUM(D73:D76)</f>
        <v>0</v>
      </c>
      <c r="E72" s="15">
        <f t="shared" si="1"/>
        <v>3482.2920262548428</v>
      </c>
      <c r="F72" s="22">
        <f>'тариф с 01.10.2021'!C24</f>
        <v>1160.7640087516143</v>
      </c>
      <c r="G72" s="1" t="s">
        <v>146</v>
      </c>
    </row>
    <row r="73" spans="1:7" ht="31.5" x14ac:dyDescent="0.25">
      <c r="A73" s="37" t="s">
        <v>148</v>
      </c>
      <c r="B73" s="35">
        <f>F73</f>
        <v>725.77358490566041</v>
      </c>
      <c r="C73" s="35">
        <f t="shared" si="5"/>
        <v>2177.3207547169814</v>
      </c>
      <c r="D73" s="35"/>
      <c r="E73" s="15"/>
      <c r="F73" s="22">
        <f>G75</f>
        <v>725.77358490566041</v>
      </c>
      <c r="G73" s="1">
        <v>12822</v>
      </c>
    </row>
    <row r="74" spans="1:7" ht="15.75" x14ac:dyDescent="0.25">
      <c r="A74" s="37" t="s">
        <v>37</v>
      </c>
      <c r="B74" s="35">
        <f>B73*0.302</f>
        <v>219.18362264150943</v>
      </c>
      <c r="C74" s="35">
        <f t="shared" si="5"/>
        <v>657.55086792452835</v>
      </c>
      <c r="D74" s="35"/>
      <c r="E74" s="15"/>
      <c r="F74" s="22">
        <f>F73*0.302</f>
        <v>219.18362264150943</v>
      </c>
      <c r="G74" s="84">
        <f>'ТХ МКД'!B18/530</f>
        <v>5.6603773584905662E-2</v>
      </c>
    </row>
    <row r="75" spans="1:7" ht="15.75" x14ac:dyDescent="0.25">
      <c r="A75" s="37" t="s">
        <v>38</v>
      </c>
      <c r="B75" s="35">
        <f>F72-B74-B73</f>
        <v>215.80680120444447</v>
      </c>
      <c r="C75" s="35">
        <f t="shared" si="5"/>
        <v>647.42040361333341</v>
      </c>
      <c r="D75" s="35"/>
      <c r="E75" s="15"/>
      <c r="F75" s="22">
        <f>F72-F73-F74</f>
        <v>215.80680120444441</v>
      </c>
      <c r="G75" s="101">
        <f>G73*G74</f>
        <v>725.77358490566041</v>
      </c>
    </row>
    <row r="76" spans="1:7" ht="15.75" x14ac:dyDescent="0.25">
      <c r="A76" s="37" t="s">
        <v>0</v>
      </c>
      <c r="B76" s="35"/>
      <c r="C76" s="35">
        <f t="shared" si="5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305.55617999999998</v>
      </c>
      <c r="C77" s="35">
        <f t="shared" si="5"/>
        <v>916.66853999999989</v>
      </c>
      <c r="D77" s="35">
        <f>D78</f>
        <v>0</v>
      </c>
      <c r="E77" s="15">
        <f t="shared" ref="E77:E117" si="7">C77-D77</f>
        <v>916.66853999999989</v>
      </c>
      <c r="F77" s="22">
        <f>'тариф с 01.10.2021'!C25</f>
        <v>305.55617999999998</v>
      </c>
    </row>
    <row r="78" spans="1:7" ht="33" customHeight="1" x14ac:dyDescent="0.25">
      <c r="A78" s="38" t="s">
        <v>40</v>
      </c>
      <c r="B78" s="35">
        <f>F77</f>
        <v>305.55617999999998</v>
      </c>
      <c r="C78" s="35">
        <f t="shared" si="5"/>
        <v>916.66853999999989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929.92429992000007</v>
      </c>
      <c r="C79" s="35">
        <f t="shared" si="5"/>
        <v>2789.7728997600002</v>
      </c>
      <c r="D79" s="35">
        <f>SUM(D80:D83)</f>
        <v>0</v>
      </c>
      <c r="E79" s="15">
        <f t="shared" si="7"/>
        <v>2789.7728997600002</v>
      </c>
      <c r="F79" s="22">
        <f>'тариф с 01.10.2021'!C26</f>
        <v>929.92429992000007</v>
      </c>
    </row>
    <row r="80" spans="1:7" ht="15.75" x14ac:dyDescent="0.25">
      <c r="A80" s="37" t="s">
        <v>36</v>
      </c>
      <c r="B80" s="35"/>
      <c r="C80" s="35">
        <f t="shared" si="5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5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5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5"/>
        <v>0</v>
      </c>
      <c r="D83" s="35"/>
      <c r="E83" s="15"/>
      <c r="F83" s="22"/>
    </row>
    <row r="84" spans="1:6" ht="15.75" x14ac:dyDescent="0.25">
      <c r="A84" s="29" t="s">
        <v>24</v>
      </c>
      <c r="B84" s="15">
        <f>F84</f>
        <v>945.14455176000013</v>
      </c>
      <c r="C84" s="35">
        <f t="shared" si="5"/>
        <v>2835.4336552800005</v>
      </c>
      <c r="D84" s="15"/>
      <c r="E84" s="15">
        <f t="shared" si="7"/>
        <v>2835.4336552800005</v>
      </c>
      <c r="F84" s="22">
        <f>'тариф с 01.10.2021'!C27</f>
        <v>945.14455176000013</v>
      </c>
    </row>
    <row r="85" spans="1:6" ht="15.75" x14ac:dyDescent="0.25">
      <c r="A85" s="29" t="s">
        <v>25</v>
      </c>
      <c r="B85" s="15">
        <f>F85</f>
        <v>2686.78804356</v>
      </c>
      <c r="C85" s="35">
        <f t="shared" si="5"/>
        <v>8060.36413068</v>
      </c>
      <c r="D85" s="15">
        <f>D86+D97</f>
        <v>0</v>
      </c>
      <c r="E85" s="15">
        <f t="shared" si="7"/>
        <v>8060.36413068</v>
      </c>
      <c r="F85" s="22">
        <f>'тариф с 01.10.2021'!C28</f>
        <v>2686.78804356</v>
      </c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/>
      <c r="E87" s="15"/>
      <c r="F87" s="50"/>
    </row>
    <row r="88" spans="1:6" ht="15.75" x14ac:dyDescent="0.25">
      <c r="A88" s="70" t="s">
        <v>37</v>
      </c>
      <c r="B88" s="15"/>
      <c r="C88" s="35"/>
      <c r="D88" s="35"/>
      <c r="E88" s="15"/>
      <c r="F88" s="50"/>
    </row>
    <row r="89" spans="1:6" ht="15.75" x14ac:dyDescent="0.25">
      <c r="A89" s="70" t="s">
        <v>50</v>
      </c>
      <c r="B89" s="15"/>
      <c r="C89" s="35"/>
      <c r="D89" s="35"/>
      <c r="E89" s="15"/>
      <c r="F89" s="50"/>
    </row>
    <row r="90" spans="1:6" ht="15.75" x14ac:dyDescent="0.25">
      <c r="A90" s="70" t="s">
        <v>51</v>
      </c>
      <c r="B90" s="15"/>
      <c r="C90" s="35"/>
      <c r="D90" s="35"/>
      <c r="E90" s="15"/>
      <c r="F90" s="50"/>
    </row>
    <row r="91" spans="1:6" ht="15.75" x14ac:dyDescent="0.25">
      <c r="A91" s="70" t="s">
        <v>76</v>
      </c>
      <c r="B91" s="15"/>
      <c r="C91" s="35"/>
      <c r="D91" s="35"/>
      <c r="E91" s="15"/>
      <c r="F91" s="50"/>
    </row>
    <row r="92" spans="1:6" ht="15.75" x14ac:dyDescent="0.25">
      <c r="A92" s="70" t="s">
        <v>52</v>
      </c>
      <c r="B92" s="15"/>
      <c r="C92" s="35"/>
      <c r="D92" s="35"/>
      <c r="E92" s="15"/>
      <c r="F92" s="50"/>
    </row>
    <row r="93" spans="1:6" ht="15.75" x14ac:dyDescent="0.25">
      <c r="A93" s="70" t="s">
        <v>77</v>
      </c>
      <c r="B93" s="15"/>
      <c r="C93" s="35"/>
      <c r="D93" s="35"/>
      <c r="E93" s="15"/>
      <c r="F93" s="50"/>
    </row>
    <row r="94" spans="1:6" ht="15.75" x14ac:dyDescent="0.25">
      <c r="A94" s="70" t="s">
        <v>53</v>
      </c>
      <c r="B94" s="15"/>
      <c r="C94" s="35"/>
      <c r="D94" s="35"/>
      <c r="E94" s="15"/>
      <c r="F94" s="50"/>
    </row>
    <row r="95" spans="1:6" ht="15.75" x14ac:dyDescent="0.25">
      <c r="A95" s="70" t="s">
        <v>54</v>
      </c>
      <c r="B95" s="15"/>
      <c r="C95" s="35"/>
      <c r="D95" s="35"/>
      <c r="E95" s="15"/>
      <c r="F95" s="50"/>
    </row>
    <row r="96" spans="1:6" ht="15.75" x14ac:dyDescent="0.25">
      <c r="A96" s="70" t="s">
        <v>0</v>
      </c>
      <c r="B96" s="15"/>
      <c r="C96" s="35"/>
      <c r="D96" s="35"/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/>
      <c r="E98" s="15"/>
      <c r="F98" s="50"/>
    </row>
    <row r="99" spans="1:6" ht="15.75" x14ac:dyDescent="0.25">
      <c r="A99" s="71" t="s">
        <v>37</v>
      </c>
      <c r="B99" s="15"/>
      <c r="C99" s="35"/>
      <c r="D99" s="35"/>
      <c r="E99" s="15"/>
      <c r="F99" s="50"/>
    </row>
    <row r="100" spans="1:6" ht="30" x14ac:dyDescent="0.25">
      <c r="A100" s="71" t="s">
        <v>55</v>
      </c>
      <c r="B100" s="15"/>
      <c r="C100" s="35"/>
      <c r="D100" s="35"/>
      <c r="E100" s="15"/>
      <c r="F100" s="50"/>
    </row>
    <row r="101" spans="1:6" ht="15.75" x14ac:dyDescent="0.25">
      <c r="A101" s="72" t="s">
        <v>56</v>
      </c>
      <c r="B101" s="15"/>
      <c r="C101" s="35"/>
      <c r="D101" s="35"/>
      <c r="E101" s="15"/>
      <c r="F101" s="50"/>
    </row>
    <row r="102" spans="1:6" ht="15.75" x14ac:dyDescent="0.25">
      <c r="A102" s="72" t="s">
        <v>57</v>
      </c>
      <c r="B102" s="15"/>
      <c r="C102" s="35"/>
      <c r="D102" s="35"/>
      <c r="E102" s="15"/>
      <c r="F102" s="50"/>
    </row>
    <row r="103" spans="1:6" ht="15.75" x14ac:dyDescent="0.25">
      <c r="A103" s="72" t="s">
        <v>58</v>
      </c>
      <c r="B103" s="15"/>
      <c r="C103" s="35"/>
      <c r="D103" s="35"/>
      <c r="E103" s="15"/>
      <c r="F103" s="50"/>
    </row>
    <row r="104" spans="1:6" ht="15.75" x14ac:dyDescent="0.25">
      <c r="A104" s="72" t="s">
        <v>59</v>
      </c>
      <c r="B104" s="15"/>
      <c r="C104" s="35"/>
      <c r="D104" s="35"/>
      <c r="E104" s="15"/>
      <c r="F104" s="50"/>
    </row>
    <row r="105" spans="1:6" ht="15.75" x14ac:dyDescent="0.25">
      <c r="A105" s="72" t="s">
        <v>60</v>
      </c>
      <c r="B105" s="15"/>
      <c r="C105" s="35"/>
      <c r="D105" s="35"/>
      <c r="E105" s="15"/>
      <c r="F105" s="50"/>
    </row>
    <row r="106" spans="1:6" ht="15.75" x14ac:dyDescent="0.25">
      <c r="A106" s="72" t="s">
        <v>61</v>
      </c>
      <c r="B106" s="15"/>
      <c r="C106" s="35"/>
      <c r="D106" s="35"/>
      <c r="E106" s="15"/>
      <c r="F106" s="50"/>
    </row>
    <row r="107" spans="1:6" ht="15.75" x14ac:dyDescent="0.25">
      <c r="A107" s="72" t="s">
        <v>62</v>
      </c>
      <c r="B107" s="15"/>
      <c r="C107" s="35"/>
      <c r="D107" s="35"/>
      <c r="E107" s="15"/>
      <c r="F107" s="50"/>
    </row>
    <row r="108" spans="1:6" ht="15.75" x14ac:dyDescent="0.25">
      <c r="A108" s="73" t="s">
        <v>63</v>
      </c>
      <c r="B108" s="15"/>
      <c r="C108" s="35"/>
      <c r="D108" s="35"/>
      <c r="E108" s="15"/>
      <c r="F108" s="50"/>
    </row>
    <row r="109" spans="1:6" ht="15.75" x14ac:dyDescent="0.25">
      <c r="A109" s="72" t="s">
        <v>64</v>
      </c>
      <c r="B109" s="15"/>
      <c r="C109" s="35"/>
      <c r="D109" s="35"/>
      <c r="E109" s="15"/>
      <c r="F109" s="50"/>
    </row>
    <row r="110" spans="1:6" ht="15.75" x14ac:dyDescent="0.25">
      <c r="A110" s="72" t="s">
        <v>65</v>
      </c>
      <c r="B110" s="15"/>
      <c r="C110" s="35"/>
      <c r="D110" s="35"/>
      <c r="E110" s="15"/>
      <c r="F110" s="50"/>
    </row>
    <row r="111" spans="1:6" ht="15.75" x14ac:dyDescent="0.25">
      <c r="A111" s="72" t="s">
        <v>78</v>
      </c>
      <c r="B111" s="15"/>
      <c r="C111" s="35"/>
      <c r="D111" s="35"/>
      <c r="E111" s="15"/>
      <c r="F111" s="50"/>
    </row>
    <row r="112" spans="1:6" ht="15.75" x14ac:dyDescent="0.25">
      <c r="A112" s="73" t="s">
        <v>66</v>
      </c>
      <c r="B112" s="15"/>
      <c r="C112" s="35"/>
      <c r="D112" s="35"/>
      <c r="E112" s="15"/>
      <c r="F112" s="50"/>
    </row>
    <row r="113" spans="1:7" ht="15.75" x14ac:dyDescent="0.25">
      <c r="A113" s="72" t="s">
        <v>67</v>
      </c>
      <c r="B113" s="15"/>
      <c r="C113" s="35"/>
      <c r="D113" s="35"/>
      <c r="E113" s="15"/>
      <c r="F113" s="50"/>
    </row>
    <row r="114" spans="1:7" ht="25.5" x14ac:dyDescent="0.25">
      <c r="A114" s="72" t="s">
        <v>79</v>
      </c>
      <c r="B114" s="15"/>
      <c r="C114" s="35"/>
      <c r="D114" s="35"/>
      <c r="E114" s="15"/>
      <c r="F114" s="50"/>
    </row>
    <row r="115" spans="1:7" ht="15.75" x14ac:dyDescent="0.25">
      <c r="A115" s="73" t="s">
        <v>68</v>
      </c>
      <c r="B115" s="15"/>
      <c r="C115" s="35"/>
      <c r="D115" s="35"/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/>
      <c r="E116" s="15"/>
      <c r="F116" s="50"/>
    </row>
    <row r="117" spans="1:7" ht="18" customHeight="1" x14ac:dyDescent="0.25">
      <c r="A117" s="33" t="s">
        <v>35</v>
      </c>
      <c r="B117" s="17">
        <f>B85+B84+B64+B35+B9</f>
        <v>12080.728737327572</v>
      </c>
      <c r="C117" s="17">
        <f>C85+C84+C64+C35+C9</f>
        <v>36242.186211982713</v>
      </c>
      <c r="D117" s="17">
        <f>D85+D84+D64+D35+D9</f>
        <v>0</v>
      </c>
      <c r="E117" s="15">
        <f t="shared" si="7"/>
        <v>36242.186211982713</v>
      </c>
      <c r="F117" s="52"/>
      <c r="G117" s="17">
        <v>30151.506310000001</v>
      </c>
    </row>
    <row r="118" spans="1:7" ht="16.5" customHeight="1" x14ac:dyDescent="0.25">
      <c r="A118" s="29" t="s">
        <v>27</v>
      </c>
      <c r="B118" s="28">
        <f>'тариф с 01.10.2021'!$B$33</f>
        <v>786.3</v>
      </c>
      <c r="C118" s="28">
        <f>'тариф с 01.10.2021'!$B$33</f>
        <v>786.3</v>
      </c>
      <c r="D118" s="28">
        <f>'тариф с 01.10.2021'!$B$33</f>
        <v>786.3</v>
      </c>
      <c r="E118" s="54"/>
      <c r="F118" s="14"/>
    </row>
    <row r="119" spans="1:7" ht="15.75" x14ac:dyDescent="0.25">
      <c r="A119" s="40" t="s">
        <v>39</v>
      </c>
      <c r="B119" s="41">
        <f>B117/B118</f>
        <v>15.364019760050327</v>
      </c>
      <c r="C119" s="41">
        <f>C117/C118/3</f>
        <v>15.364019760050326</v>
      </c>
      <c r="D119" s="41"/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29" sqref="A29:D31"/>
    </sheetView>
  </sheetViews>
  <sheetFormatPr defaultRowHeight="15" x14ac:dyDescent="0.25"/>
  <cols>
    <col min="1" max="1" width="68" customWidth="1"/>
    <col min="2" max="2" width="25.28515625" customWidth="1"/>
    <col min="3" max="3" width="22.42578125" style="128" customWidth="1"/>
    <col min="4" max="4" width="18.42578125" style="128" customWidth="1"/>
  </cols>
  <sheetData>
    <row r="1" spans="1:4" x14ac:dyDescent="0.25">
      <c r="B1" t="s">
        <v>185</v>
      </c>
    </row>
    <row r="2" spans="1:4" ht="24" customHeight="1" x14ac:dyDescent="0.25">
      <c r="A2" s="118" t="s">
        <v>153</v>
      </c>
      <c r="B2" s="117" t="s">
        <v>152</v>
      </c>
      <c r="C2" s="129" t="s">
        <v>183</v>
      </c>
      <c r="D2" s="130" t="s">
        <v>184</v>
      </c>
    </row>
    <row r="3" spans="1:4" ht="22.5" customHeight="1" x14ac:dyDescent="0.25">
      <c r="A3" s="119" t="s">
        <v>155</v>
      </c>
      <c r="B3" s="122">
        <f>SUM(B4:B8)</f>
        <v>1.2727891634491773</v>
      </c>
      <c r="C3" s="127">
        <f>SUM(C4:C8)</f>
        <v>1000.7941192200879</v>
      </c>
      <c r="D3" s="127">
        <f>SUM(D4:D8)</f>
        <v>12009.529430641056</v>
      </c>
    </row>
    <row r="4" spans="1:4" ht="43.5" customHeight="1" x14ac:dyDescent="0.25">
      <c r="A4" s="120" t="s">
        <v>156</v>
      </c>
      <c r="B4" s="123">
        <v>0.18336360000000002</v>
      </c>
      <c r="C4" s="130">
        <f>B4*$B$33</f>
        <v>144.17879868</v>
      </c>
      <c r="D4" s="130">
        <f>C4*12</f>
        <v>1730.14558416</v>
      </c>
    </row>
    <row r="5" spans="1:4" ht="21.75" customHeight="1" x14ac:dyDescent="0.25">
      <c r="A5" s="120" t="s">
        <v>157</v>
      </c>
      <c r="B5" s="123">
        <v>0.44657400000000003</v>
      </c>
      <c r="C5" s="130">
        <f t="shared" ref="C5:C28" si="0">B5*$B$33</f>
        <v>351.14113620000001</v>
      </c>
      <c r="D5" s="130">
        <f t="shared" ref="D5:D32" si="1">C5*12</f>
        <v>4213.6936344000005</v>
      </c>
    </row>
    <row r="6" spans="1:4" ht="30.75" customHeight="1" x14ac:dyDescent="0.25">
      <c r="A6" s="120" t="s">
        <v>158</v>
      </c>
      <c r="B6" s="123">
        <v>8.5632800000000009E-2</v>
      </c>
      <c r="C6" s="130">
        <f t="shared" si="0"/>
        <v>67.333070640000003</v>
      </c>
      <c r="D6" s="130">
        <f t="shared" si="1"/>
        <v>807.99684767999997</v>
      </c>
    </row>
    <row r="7" spans="1:4" ht="21.75" customHeight="1" x14ac:dyDescent="0.25">
      <c r="A7" s="120" t="s">
        <v>159</v>
      </c>
      <c r="B7" s="123">
        <v>9.612159773634478E-2</v>
      </c>
      <c r="C7" s="130">
        <f t="shared" si="0"/>
        <v>75.5804123000879</v>
      </c>
      <c r="D7" s="130">
        <f t="shared" si="1"/>
        <v>906.96494760105475</v>
      </c>
    </row>
    <row r="8" spans="1:4" ht="21.75" customHeight="1" x14ac:dyDescent="0.25">
      <c r="A8" s="120" t="s">
        <v>160</v>
      </c>
      <c r="B8" s="123">
        <v>0.46109716571283232</v>
      </c>
      <c r="C8" s="130">
        <f t="shared" si="0"/>
        <v>362.56070140000003</v>
      </c>
      <c r="D8" s="130">
        <f t="shared" si="1"/>
        <v>4350.7284168000006</v>
      </c>
    </row>
    <row r="9" spans="1:4" ht="24" customHeight="1" x14ac:dyDescent="0.25">
      <c r="A9" s="119" t="s">
        <v>161</v>
      </c>
      <c r="B9" s="122">
        <f>SUM(B10:B19)</f>
        <v>4.9320243349603361</v>
      </c>
      <c r="C9" s="127">
        <f>SUM(C10:C19)</f>
        <v>3878.0507345793112</v>
      </c>
      <c r="D9" s="127">
        <f>SUM(D10:D19)</f>
        <v>46536.608814951738</v>
      </c>
    </row>
    <row r="10" spans="1:4" ht="21.75" customHeight="1" x14ac:dyDescent="0.25">
      <c r="A10" s="120" t="s">
        <v>162</v>
      </c>
      <c r="B10" s="123">
        <v>1.6766776000000001</v>
      </c>
      <c r="C10" s="130">
        <f t="shared" si="0"/>
        <v>1318.37159688</v>
      </c>
      <c r="D10" s="130">
        <f t="shared" si="1"/>
        <v>15820.459162560001</v>
      </c>
    </row>
    <row r="11" spans="1:4" ht="21.75" customHeight="1" x14ac:dyDescent="0.25">
      <c r="A11" s="120" t="s">
        <v>163</v>
      </c>
      <c r="B11" s="124">
        <v>0.91744920000000008</v>
      </c>
      <c r="C11" s="130">
        <f t="shared" si="0"/>
        <v>721.39030595999998</v>
      </c>
      <c r="D11" s="130">
        <f t="shared" si="1"/>
        <v>8656.6836715200006</v>
      </c>
    </row>
    <row r="12" spans="1:4" ht="21.75" customHeight="1" x14ac:dyDescent="0.25">
      <c r="A12" s="120" t="s">
        <v>164</v>
      </c>
      <c r="B12" s="123">
        <v>0.29360713496033553</v>
      </c>
      <c r="C12" s="130">
        <f t="shared" si="0"/>
        <v>230.86329021931181</v>
      </c>
      <c r="D12" s="130">
        <f t="shared" si="1"/>
        <v>2770.3594826317417</v>
      </c>
    </row>
    <row r="13" spans="1:4" ht="21.75" customHeight="1" x14ac:dyDescent="0.25">
      <c r="A13" s="120" t="s">
        <v>165</v>
      </c>
      <c r="B13" s="123">
        <v>0.25269039999999998</v>
      </c>
      <c r="C13" s="130">
        <f t="shared" si="0"/>
        <v>198.69046151999999</v>
      </c>
      <c r="D13" s="130">
        <f t="shared" si="1"/>
        <v>2384.2855382399998</v>
      </c>
    </row>
    <row r="14" spans="1:4" ht="34.5" customHeight="1" x14ac:dyDescent="0.25">
      <c r="A14" s="120" t="s">
        <v>166</v>
      </c>
      <c r="B14" s="123"/>
      <c r="C14" s="130">
        <f t="shared" si="0"/>
        <v>0</v>
      </c>
      <c r="D14" s="130">
        <f t="shared" si="1"/>
        <v>0</v>
      </c>
    </row>
    <row r="15" spans="1:4" ht="32.25" customHeight="1" x14ac:dyDescent="0.25">
      <c r="A15" s="120" t="s">
        <v>167</v>
      </c>
      <c r="B15" s="124">
        <v>1.1136999999999999</v>
      </c>
      <c r="C15" s="130">
        <f t="shared" si="0"/>
        <v>875.7023099999999</v>
      </c>
      <c r="D15" s="130">
        <f t="shared" si="1"/>
        <v>10508.42772</v>
      </c>
    </row>
    <row r="16" spans="1:4" ht="30.75" customHeight="1" x14ac:dyDescent="0.25">
      <c r="A16" s="120" t="s">
        <v>168</v>
      </c>
      <c r="B16" s="122"/>
      <c r="C16" s="130">
        <f t="shared" si="0"/>
        <v>0</v>
      </c>
      <c r="D16" s="130">
        <f t="shared" si="1"/>
        <v>0</v>
      </c>
    </row>
    <row r="17" spans="1:4" ht="30.75" customHeight="1" x14ac:dyDescent="0.25">
      <c r="A17" s="120" t="s">
        <v>169</v>
      </c>
      <c r="B17" s="123">
        <v>0.67789999999999995</v>
      </c>
      <c r="C17" s="130">
        <f t="shared" si="0"/>
        <v>533.03276999999991</v>
      </c>
      <c r="D17" s="130">
        <f t="shared" si="1"/>
        <v>6396.3932399999994</v>
      </c>
    </row>
    <row r="18" spans="1:4" ht="21.75" customHeight="1" x14ac:dyDescent="0.25">
      <c r="A18" s="120" t="s">
        <v>170</v>
      </c>
      <c r="B18" s="122"/>
      <c r="C18" s="130">
        <f t="shared" si="0"/>
        <v>0</v>
      </c>
      <c r="D18" s="130">
        <f t="shared" si="1"/>
        <v>0</v>
      </c>
    </row>
    <row r="19" spans="1:4" ht="21.75" customHeight="1" x14ac:dyDescent="0.25">
      <c r="A19" s="120" t="s">
        <v>171</v>
      </c>
      <c r="B19" s="123"/>
      <c r="C19" s="130">
        <f t="shared" si="0"/>
        <v>0</v>
      </c>
      <c r="D19" s="130">
        <f t="shared" si="1"/>
        <v>0</v>
      </c>
    </row>
    <row r="20" spans="1:4" ht="20.25" customHeight="1" x14ac:dyDescent="0.25">
      <c r="A20" s="119" t="s">
        <v>172</v>
      </c>
      <c r="B20" s="122">
        <f>SUM(B21:B26)</f>
        <v>4.5401898616408136</v>
      </c>
      <c r="C20" s="127">
        <f>SUM(C21:C26)</f>
        <v>3569.9512882081713</v>
      </c>
      <c r="D20" s="127">
        <f>SUM(D21:D26)</f>
        <v>42839.41545849805</v>
      </c>
    </row>
    <row r="21" spans="1:4" ht="21" customHeight="1" x14ac:dyDescent="0.25">
      <c r="A21" s="120" t="s">
        <v>173</v>
      </c>
      <c r="B21" s="123">
        <v>0</v>
      </c>
      <c r="C21" s="130">
        <f t="shared" si="0"/>
        <v>0</v>
      </c>
      <c r="D21" s="130">
        <f t="shared" si="1"/>
        <v>0</v>
      </c>
    </row>
    <row r="22" spans="1:4" ht="20.25" customHeight="1" x14ac:dyDescent="0.25">
      <c r="A22" s="120" t="s">
        <v>174</v>
      </c>
      <c r="B22" s="123">
        <v>1.4926959169993095</v>
      </c>
      <c r="C22" s="130">
        <f t="shared" si="0"/>
        <v>1173.7067995365569</v>
      </c>
      <c r="D22" s="130">
        <f t="shared" si="1"/>
        <v>14084.481594438683</v>
      </c>
    </row>
    <row r="23" spans="1:4" ht="18" customHeight="1" x14ac:dyDescent="0.25">
      <c r="A23" s="120" t="s">
        <v>20</v>
      </c>
      <c r="B23" s="123">
        <v>0</v>
      </c>
      <c r="C23" s="130">
        <f t="shared" si="0"/>
        <v>0</v>
      </c>
      <c r="D23" s="130">
        <f t="shared" si="1"/>
        <v>0</v>
      </c>
    </row>
    <row r="24" spans="1:4" ht="21" customHeight="1" x14ac:dyDescent="0.25">
      <c r="A24" s="120" t="s">
        <v>175</v>
      </c>
      <c r="B24" s="123">
        <v>1.4762355446415036</v>
      </c>
      <c r="C24" s="130">
        <f t="shared" si="0"/>
        <v>1160.7640087516143</v>
      </c>
      <c r="D24" s="130">
        <f t="shared" si="1"/>
        <v>13929.168105019371</v>
      </c>
    </row>
    <row r="25" spans="1:4" ht="31.5" customHeight="1" x14ac:dyDescent="0.25">
      <c r="A25" s="120" t="s">
        <v>176</v>
      </c>
      <c r="B25" s="123">
        <v>0.3886</v>
      </c>
      <c r="C25" s="130">
        <f t="shared" si="0"/>
        <v>305.55617999999998</v>
      </c>
      <c r="D25" s="130">
        <f t="shared" si="1"/>
        <v>3666.6741599999996</v>
      </c>
    </row>
    <row r="26" spans="1:4" ht="17.25" customHeight="1" x14ac:dyDescent="0.25">
      <c r="A26" s="120" t="s">
        <v>177</v>
      </c>
      <c r="B26" s="123">
        <v>1.1826584000000002</v>
      </c>
      <c r="C26" s="130">
        <f t="shared" si="0"/>
        <v>929.92429992000007</v>
      </c>
      <c r="D26" s="130">
        <f t="shared" si="1"/>
        <v>11159.091599040001</v>
      </c>
    </row>
    <row r="27" spans="1:4" ht="21.75" customHeight="1" x14ac:dyDescent="0.25">
      <c r="A27" s="119" t="s">
        <v>178</v>
      </c>
      <c r="B27" s="122">
        <v>1.2020152000000002</v>
      </c>
      <c r="C27" s="131">
        <f t="shared" si="0"/>
        <v>945.14455176000013</v>
      </c>
      <c r="D27" s="131">
        <f t="shared" si="1"/>
        <v>11341.734621120002</v>
      </c>
    </row>
    <row r="28" spans="1:4" ht="21.75" customHeight="1" x14ac:dyDescent="0.25">
      <c r="A28" s="119" t="s">
        <v>179</v>
      </c>
      <c r="B28" s="122">
        <v>3.4170012000000001</v>
      </c>
      <c r="C28" s="131">
        <f t="shared" si="0"/>
        <v>2686.78804356</v>
      </c>
      <c r="D28" s="131">
        <f t="shared" si="1"/>
        <v>32241.45652272</v>
      </c>
    </row>
    <row r="29" spans="1:4" ht="45" x14ac:dyDescent="0.25">
      <c r="A29" s="119" t="s">
        <v>180</v>
      </c>
      <c r="B29" s="122"/>
      <c r="C29" s="129"/>
      <c r="D29" s="130">
        <f t="shared" si="1"/>
        <v>0</v>
      </c>
    </row>
    <row r="30" spans="1:4" x14ac:dyDescent="0.25">
      <c r="A30" s="119" t="s">
        <v>181</v>
      </c>
      <c r="B30" s="125"/>
      <c r="C30" s="129"/>
      <c r="D30" s="130">
        <f t="shared" si="1"/>
        <v>0</v>
      </c>
    </row>
    <row r="31" spans="1:4" x14ac:dyDescent="0.25">
      <c r="A31" s="119" t="s">
        <v>182</v>
      </c>
      <c r="B31" s="125"/>
      <c r="C31" s="129"/>
      <c r="D31" s="130">
        <f t="shared" si="1"/>
        <v>0</v>
      </c>
    </row>
    <row r="32" spans="1:4" x14ac:dyDescent="0.25">
      <c r="A32" s="121" t="s">
        <v>154</v>
      </c>
      <c r="B32" s="122">
        <f>B28+B27+B20+B9+B3</f>
        <v>15.364019760050327</v>
      </c>
      <c r="C32" s="127">
        <f>C28+C27+C20+C9+C3</f>
        <v>12080.728737327572</v>
      </c>
      <c r="D32" s="131">
        <f t="shared" si="1"/>
        <v>144968.74484793085</v>
      </c>
    </row>
    <row r="33" spans="1:2" x14ac:dyDescent="0.25">
      <c r="A33" s="126" t="s">
        <v>99</v>
      </c>
      <c r="B33" s="99">
        <v>786.3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43" zoomScaleNormal="100" workbookViewId="0">
      <selection activeCell="I94" sqref="I94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38" t="s">
        <v>187</v>
      </c>
      <c r="B3" s="138"/>
      <c r="C3" s="138"/>
      <c r="D3" s="138"/>
      <c r="E3" s="138"/>
      <c r="F3" s="20"/>
    </row>
    <row r="4" spans="1:10" ht="22.5" customHeight="1" x14ac:dyDescent="0.25">
      <c r="A4" s="57" t="s">
        <v>1</v>
      </c>
      <c r="B4" s="139" t="str">
        <f>тариф!B2</f>
        <v>Тимирязева, 27 /1</v>
      </c>
      <c r="C4" s="140"/>
      <c r="D4" s="140"/>
      <c r="E4" s="141"/>
      <c r="F4" s="25"/>
    </row>
    <row r="5" spans="1:10" ht="20.25" customHeight="1" x14ac:dyDescent="0.25">
      <c r="A5" s="142" t="s">
        <v>30</v>
      </c>
      <c r="B5" s="145" t="s">
        <v>44</v>
      </c>
      <c r="C5" s="146"/>
      <c r="D5" s="51" t="s">
        <v>45</v>
      </c>
      <c r="E5" s="51" t="s">
        <v>72</v>
      </c>
    </row>
    <row r="6" spans="1:10" ht="18" customHeight="1" x14ac:dyDescent="0.25">
      <c r="A6" s="143"/>
      <c r="B6" s="24" t="s">
        <v>43</v>
      </c>
      <c r="C6" s="24" t="s">
        <v>186</v>
      </c>
      <c r="D6" s="24" t="s">
        <v>186</v>
      </c>
      <c r="E6" s="24" t="s">
        <v>73</v>
      </c>
      <c r="F6" s="26"/>
    </row>
    <row r="7" spans="1:10" ht="15.75" x14ac:dyDescent="0.25">
      <c r="A7" s="144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491.66976</v>
      </c>
      <c r="C9" s="15">
        <f>C10+C15+C20+C25+C30</f>
        <v>4425.0278399999997</v>
      </c>
      <c r="D9" s="15">
        <f t="shared" ref="D9" si="0">D10+D15+D20+D25+D30</f>
        <v>0</v>
      </c>
      <c r="E9" s="15">
        <f>C9-D9</f>
        <v>4425.0278399999997</v>
      </c>
      <c r="F9" s="23">
        <f>тариф!C5</f>
        <v>491.66976</v>
      </c>
      <c r="G9" s="106"/>
    </row>
    <row r="10" spans="1:10" ht="63.75" customHeight="1" x14ac:dyDescent="0.25">
      <c r="A10" s="31" t="s">
        <v>3</v>
      </c>
      <c r="B10" s="35">
        <f>F10</f>
        <v>40.972480000000004</v>
      </c>
      <c r="C10" s="35">
        <f>B10*9</f>
        <v>368.75232000000005</v>
      </c>
      <c r="D10" s="35">
        <f>SUM(D11:D14)</f>
        <v>0</v>
      </c>
      <c r="E10" s="15">
        <f t="shared" ref="E10:E72" si="1">C10-D10</f>
        <v>368.75232000000005</v>
      </c>
      <c r="F10" s="22">
        <f>тариф!C6</f>
        <v>40.972480000000004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74" si="2">B11*9</f>
        <v>0</v>
      </c>
      <c r="D11" s="35">
        <v>0</v>
      </c>
      <c r="E11" s="15"/>
      <c r="F11" s="22">
        <f>G14+H14</f>
        <v>45.441963019190503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22">
        <f>F11*0.302</f>
        <v>13.723472831795531</v>
      </c>
      <c r="G12" s="84">
        <f>('ТХ МКД'!B7+'ТХ МКД'!B28*0.5)*0.0111/1000</f>
        <v>1.3045830000000001E-2</v>
      </c>
      <c r="H12" s="84">
        <f>('ТХ МКД'!B7+'ТХ МКД'!B28*0.5)*0.00539/1000</f>
        <v>6.3348669999999992E-3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22">
        <f>F10-F11-F12</f>
        <v>-18.192955850986031</v>
      </c>
      <c r="G13" s="84">
        <f>G12*0.109</f>
        <v>1.4219954700000002E-3</v>
      </c>
      <c r="H13" s="84">
        <f>H12*0.1339</f>
        <v>8.4823869129999985E-4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27.556850213130005</v>
      </c>
      <c r="H14" s="101">
        <f>H11*H13</f>
        <v>17.885112806060498</v>
      </c>
    </row>
    <row r="15" spans="1:10" ht="33.75" customHeight="1" x14ac:dyDescent="0.25">
      <c r="A15" s="31" t="s">
        <v>4</v>
      </c>
      <c r="B15" s="35">
        <f>F15</f>
        <v>199.74083999999999</v>
      </c>
      <c r="C15" s="35">
        <f t="shared" si="2"/>
        <v>1797.6675599999999</v>
      </c>
      <c r="D15" s="35">
        <f>SUM(D16:D19)</f>
        <v>0</v>
      </c>
      <c r="E15" s="15">
        <f t="shared" si="1"/>
        <v>1797.6675599999999</v>
      </c>
      <c r="F15" s="22">
        <f>тариф!C7</f>
        <v>199.74083999999999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162.2719466644815</v>
      </c>
      <c r="G16" s="1">
        <v>21085</v>
      </c>
      <c r="H16" s="1">
        <v>19379</v>
      </c>
      <c r="I16" s="1">
        <v>16576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49.006127892673412</v>
      </c>
      <c r="G17" s="84">
        <f>('ТХ МКД'!B7+'ТХ МКД'!B28*0.5)*0.0018/1000</f>
        <v>2.11554E-3</v>
      </c>
      <c r="H17" s="84">
        <f>('ТХ МКД'!B7+'ТХ МКД'!B28*0.5)*0.02295/1000</f>
        <v>2.6973134999999999E-2</v>
      </c>
      <c r="I17" s="84">
        <f>('ТХ МКД'!B7+'ТХ МКД'!B28*0.5)*0.02295/1000</f>
        <v>2.6973134999999999E-2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-11.537234557154925</v>
      </c>
      <c r="G18" s="84">
        <f>G17*0.5079</f>
        <v>1.0744827660000001E-3</v>
      </c>
      <c r="H18" s="84">
        <f>H17*0.2671</f>
        <v>7.2045243585E-3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22.655469121110002</v>
      </c>
      <c r="H19" s="101">
        <f>H16*H18</f>
        <v>139.6164775433715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19.142880000000002</v>
      </c>
      <c r="C20" s="35">
        <f t="shared" si="2"/>
        <v>172.28592</v>
      </c>
      <c r="D20" s="35">
        <f>SUM(D21:D24)</f>
        <v>0</v>
      </c>
      <c r="E20" s="15">
        <f t="shared" si="1"/>
        <v>172.28592</v>
      </c>
      <c r="F20" s="22">
        <f>тариф!C8</f>
        <v>19.142880000000002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22">
        <f>G24</f>
        <v>24.108451709395201</v>
      </c>
      <c r="G21" s="1">
        <v>19379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22">
        <f>F21*0.302</f>
        <v>7.28075241623735</v>
      </c>
      <c r="G22" s="84">
        <f>('ТХ МКД'!B7+'ТХ МКД'!B28*0.5)*0.00888/1000</f>
        <v>1.0436664E-2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22">
        <f>F20-F21-F22</f>
        <v>-12.246324125632549</v>
      </c>
      <c r="G23" s="84">
        <f>G22*0.1192</f>
        <v>1.2440503488E-3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24.108451709395201</v>
      </c>
    </row>
    <row r="25" spans="1:9" ht="15.75" x14ac:dyDescent="0.25">
      <c r="A25" s="31" t="s">
        <v>6</v>
      </c>
      <c r="B25" s="35">
        <f>F25</f>
        <v>78.166760000000011</v>
      </c>
      <c r="C25" s="35">
        <f t="shared" si="2"/>
        <v>703.50084000000015</v>
      </c>
      <c r="D25" s="35">
        <f>SUM(D26:D29)</f>
        <v>0</v>
      </c>
      <c r="E25" s="15">
        <f t="shared" si="1"/>
        <v>703.50084000000015</v>
      </c>
      <c r="F25" s="22">
        <f>тариф!C9</f>
        <v>78.166760000000011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48.177823320000009</v>
      </c>
      <c r="G26" s="1">
        <v>12188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14.549702642640002</v>
      </c>
      <c r="G27" s="84">
        <f>'ТХ МКД'!B27*0.0263/1000</f>
        <v>3.9528900000000006E-3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15.43923403736</v>
      </c>
      <c r="G28" s="101">
        <f>G26*G27</f>
        <v>48.177823320000009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153.64680000000001</v>
      </c>
      <c r="C30" s="35">
        <f t="shared" si="2"/>
        <v>1382.8212000000001</v>
      </c>
      <c r="D30" s="35">
        <f>SUM(D31:D34)</f>
        <v>0</v>
      </c>
      <c r="E30" s="15">
        <f t="shared" si="1"/>
        <v>1382.8212000000001</v>
      </c>
      <c r="F30" s="22">
        <f>тариф!C10</f>
        <v>153.64680000000001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45.833156432209996</v>
      </c>
      <c r="G31" s="1">
        <v>19379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13.841613242527419</v>
      </c>
      <c r="G32" s="84">
        <f>'ТХ МКД'!B21/1000*0.0763</f>
        <v>1.5298150000000002E-2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93.972030325262608</v>
      </c>
      <c r="G33" s="84">
        <f>G32*0.1546</f>
        <v>2.3650939899999999E-3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45.833156432209996</v>
      </c>
    </row>
    <row r="35" spans="1:8" ht="31.5" x14ac:dyDescent="0.25">
      <c r="A35" s="29" t="s">
        <v>8</v>
      </c>
      <c r="B35" s="15">
        <f>B36+B41+B46+B51+B56+B58+B60+B62</f>
        <v>1841.9984399999998</v>
      </c>
      <c r="C35" s="35">
        <f t="shared" si="2"/>
        <v>16577.985959999998</v>
      </c>
      <c r="D35" s="15">
        <f t="shared" ref="D35" si="3">D36+D41+D46+D51+D56+D58+D60+D62</f>
        <v>0</v>
      </c>
      <c r="E35" s="15">
        <f t="shared" si="1"/>
        <v>16577.985959999998</v>
      </c>
      <c r="F35" s="23">
        <f>тариф!C12</f>
        <v>1841.9984399999998</v>
      </c>
      <c r="G35" s="103"/>
    </row>
    <row r="36" spans="1:8" ht="31.5" customHeight="1" x14ac:dyDescent="0.25">
      <c r="A36" s="31" t="s">
        <v>9</v>
      </c>
      <c r="B36" s="35">
        <f>F36</f>
        <v>749.84676000000002</v>
      </c>
      <c r="C36" s="35">
        <f t="shared" si="2"/>
        <v>6748.6208400000005</v>
      </c>
      <c r="D36" s="35">
        <f>SUM(D37:D40)</f>
        <v>0</v>
      </c>
      <c r="E36" s="15">
        <f t="shared" si="1"/>
        <v>6748.6208400000005</v>
      </c>
      <c r="F36" s="22">
        <f>тариф!C13</f>
        <v>749.84676000000002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si="2"/>
        <v>0</v>
      </c>
      <c r="D37" s="35">
        <v>0</v>
      </c>
      <c r="E37" s="15"/>
      <c r="F37" s="22">
        <f>G40+H40</f>
        <v>333.49332093019098</v>
      </c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>
        <f t="shared" si="2"/>
        <v>0</v>
      </c>
      <c r="D38" s="35">
        <v>0</v>
      </c>
      <c r="E38" s="15"/>
      <c r="F38" s="22">
        <f>F37*0.302</f>
        <v>100.71498292091768</v>
      </c>
      <c r="G38" s="84">
        <f>'ТХ МКД'!B14/325</f>
        <v>3.6923076923076927E-2</v>
      </c>
      <c r="H38" s="84">
        <f>('ТХ МКД'!B7+'ТХ МКД'!B28*0.5)*0.01631/1000</f>
        <v>1.9169143000000003E-2</v>
      </c>
    </row>
    <row r="39" spans="1:8" ht="15.75" x14ac:dyDescent="0.25">
      <c r="A39" s="37" t="s">
        <v>38</v>
      </c>
      <c r="B39" s="35"/>
      <c r="C39" s="35">
        <f t="shared" si="2"/>
        <v>0</v>
      </c>
      <c r="D39" s="35">
        <v>0</v>
      </c>
      <c r="E39" s="15"/>
      <c r="F39" s="22">
        <f>F36-F37-F38</f>
        <v>315.63845614889135</v>
      </c>
      <c r="G39" s="84">
        <f>G38*0.312746</f>
        <v>1.1547544615384618E-2</v>
      </c>
      <c r="H39" s="19">
        <f>H38*0.1819</f>
        <v>3.4868671117000006E-3</v>
      </c>
    </row>
    <row r="40" spans="1:8" ht="15.75" x14ac:dyDescent="0.25">
      <c r="A40" s="37" t="s">
        <v>0</v>
      </c>
      <c r="B40" s="35"/>
      <c r="C40" s="35">
        <f t="shared" si="2"/>
        <v>0</v>
      </c>
      <c r="D40" s="35">
        <v>0</v>
      </c>
      <c r="E40" s="15"/>
      <c r="F40" s="22"/>
      <c r="G40" s="101">
        <f>G37*G39</f>
        <v>256.14763465846158</v>
      </c>
      <c r="H40" s="101">
        <f>H37*H39</f>
        <v>77.34568627172942</v>
      </c>
    </row>
    <row r="41" spans="1:8" ht="15.75" x14ac:dyDescent="0.25">
      <c r="A41" s="31" t="s">
        <v>10</v>
      </c>
      <c r="B41" s="35">
        <f>F41</f>
        <v>148.94504000000001</v>
      </c>
      <c r="C41" s="35">
        <f t="shared" si="2"/>
        <v>1340.5053600000001</v>
      </c>
      <c r="D41" s="35">
        <f>SUM(D42:D45)</f>
        <v>0</v>
      </c>
      <c r="E41" s="15">
        <f t="shared" si="1"/>
        <v>1340.5053600000001</v>
      </c>
      <c r="F41" s="22">
        <f>тариф!C14</f>
        <v>148.94504000000001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2"/>
        <v>0</v>
      </c>
      <c r="D42" s="35">
        <v>0</v>
      </c>
      <c r="E42" s="15"/>
      <c r="F42" s="22">
        <f>G45</f>
        <v>209.03196893384614</v>
      </c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>
        <f t="shared" si="2"/>
        <v>0</v>
      </c>
      <c r="D43" s="35">
        <v>0</v>
      </c>
      <c r="E43" s="15"/>
      <c r="F43" s="22">
        <f>F42*0.302</f>
        <v>63.127654618021531</v>
      </c>
      <c r="G43" s="84">
        <f>('ТХ МКД'!B7+'ТХ МКД'!B28*0.5)/39000</f>
        <v>3.0135897435897434E-2</v>
      </c>
    </row>
    <row r="44" spans="1:8" ht="15.75" x14ac:dyDescent="0.25">
      <c r="A44" s="37" t="s">
        <v>38</v>
      </c>
      <c r="B44" s="35"/>
      <c r="C44" s="35">
        <f t="shared" si="2"/>
        <v>0</v>
      </c>
      <c r="D44" s="35">
        <v>0</v>
      </c>
      <c r="E44" s="15"/>
      <c r="F44" s="22">
        <f>F41-F42-F43</f>
        <v>-123.21458355186766</v>
      </c>
      <c r="G44" s="84">
        <f>G43*0.3127</f>
        <v>9.4234951282051276E-3</v>
      </c>
    </row>
    <row r="45" spans="1:8" ht="15.75" x14ac:dyDescent="0.25">
      <c r="A45" s="37" t="s">
        <v>0</v>
      </c>
      <c r="B45" s="35"/>
      <c r="C45" s="35">
        <f t="shared" si="2"/>
        <v>0</v>
      </c>
      <c r="D45" s="35">
        <v>0</v>
      </c>
      <c r="E45" s="15"/>
      <c r="F45" s="22"/>
      <c r="G45" s="101">
        <f>G42*G44</f>
        <v>209.03196893384614</v>
      </c>
    </row>
    <row r="46" spans="1:8" ht="15.75" x14ac:dyDescent="0.25">
      <c r="A46" s="31" t="s">
        <v>11</v>
      </c>
      <c r="B46" s="35">
        <f>F46</f>
        <v>211.74712</v>
      </c>
      <c r="C46" s="35">
        <f t="shared" si="2"/>
        <v>1905.72408</v>
      </c>
      <c r="D46" s="35">
        <f>SUM(D47:D50)</f>
        <v>0</v>
      </c>
      <c r="E46" s="15">
        <f t="shared" si="1"/>
        <v>1905.72408</v>
      </c>
      <c r="F46" s="22">
        <f>тариф!C15</f>
        <v>211.74712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2"/>
        <v>0</v>
      </c>
      <c r="D47" s="35">
        <v>0</v>
      </c>
      <c r="E47" s="15"/>
      <c r="F47" s="22">
        <f>G49</f>
        <v>112.45333333333333</v>
      </c>
      <c r="G47" s="1">
        <v>21085</v>
      </c>
    </row>
    <row r="48" spans="1:8" ht="15.75" x14ac:dyDescent="0.25">
      <c r="A48" s="37" t="s">
        <v>37</v>
      </c>
      <c r="B48" s="35"/>
      <c r="C48" s="35">
        <f t="shared" si="2"/>
        <v>0</v>
      </c>
      <c r="D48" s="35">
        <v>0</v>
      </c>
      <c r="E48" s="15"/>
      <c r="F48" s="22">
        <f>F47*0.302</f>
        <v>33.960906666666666</v>
      </c>
      <c r="G48" s="84">
        <f>'ТХ МКД'!B16/2250</f>
        <v>5.3333333333333332E-3</v>
      </c>
    </row>
    <row r="49" spans="1:7" ht="15.75" x14ac:dyDescent="0.25">
      <c r="A49" s="37" t="s">
        <v>38</v>
      </c>
      <c r="B49" s="35"/>
      <c r="C49" s="35">
        <f t="shared" si="2"/>
        <v>0</v>
      </c>
      <c r="D49" s="35">
        <v>0</v>
      </c>
      <c r="E49" s="15"/>
      <c r="F49" s="22">
        <f>F46-F47-F48</f>
        <v>65.332879999999989</v>
      </c>
      <c r="G49" s="101">
        <f>G47*G48</f>
        <v>112.45333333333333</v>
      </c>
    </row>
    <row r="50" spans="1:7" ht="15.75" x14ac:dyDescent="0.25">
      <c r="A50" s="37" t="s">
        <v>0</v>
      </c>
      <c r="B50" s="35"/>
      <c r="C50" s="35">
        <f t="shared" si="2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56.50508</v>
      </c>
      <c r="C51" s="35">
        <f t="shared" si="2"/>
        <v>508.54572000000002</v>
      </c>
      <c r="D51" s="35">
        <f>SUM(D52:D55)</f>
        <v>0</v>
      </c>
      <c r="E51" s="15">
        <f t="shared" si="1"/>
        <v>508.54572000000002</v>
      </c>
      <c r="F51" s="22">
        <f>тариф!C16</f>
        <v>56.50508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2"/>
        <v>0</v>
      </c>
      <c r="D52" s="35"/>
      <c r="E52" s="15"/>
      <c r="F52" s="22">
        <f>G55</f>
        <v>62.242919999999998</v>
      </c>
      <c r="G52" s="1">
        <v>21085</v>
      </c>
    </row>
    <row r="53" spans="1:7" ht="15.75" x14ac:dyDescent="0.25">
      <c r="A53" s="37" t="s">
        <v>37</v>
      </c>
      <c r="B53" s="35"/>
      <c r="C53" s="35">
        <f t="shared" si="2"/>
        <v>0</v>
      </c>
      <c r="D53" s="35"/>
      <c r="E53" s="15"/>
      <c r="F53" s="22">
        <f>F52*0.302</f>
        <v>18.797361839999997</v>
      </c>
      <c r="G53" s="1">
        <f>'ТХ МКД'!B12/1250</f>
        <v>9.5999999999999992E-3</v>
      </c>
    </row>
    <row r="54" spans="1:7" ht="15.75" x14ac:dyDescent="0.25">
      <c r="A54" s="37" t="s">
        <v>38</v>
      </c>
      <c r="B54" s="35"/>
      <c r="C54" s="35">
        <f t="shared" si="2"/>
        <v>0</v>
      </c>
      <c r="D54" s="35"/>
      <c r="E54" s="15"/>
      <c r="F54" s="22">
        <f>F51-F52-F53</f>
        <v>-24.535201839999996</v>
      </c>
      <c r="G54" s="84">
        <f>G53*0.3075</f>
        <v>2.9519999999999998E-3</v>
      </c>
    </row>
    <row r="55" spans="1:7" ht="15.75" x14ac:dyDescent="0.25">
      <c r="A55" s="37" t="s">
        <v>0</v>
      </c>
      <c r="B55" s="35"/>
      <c r="C55" s="35">
        <f t="shared" si="2"/>
        <v>0</v>
      </c>
      <c r="D55" s="35"/>
      <c r="E55" s="15"/>
      <c r="F55" s="22"/>
      <c r="G55" s="101">
        <f>G52*G54</f>
        <v>62.242919999999998</v>
      </c>
    </row>
    <row r="56" spans="1:7" ht="31.5" x14ac:dyDescent="0.25">
      <c r="A56" s="31" t="s">
        <v>13</v>
      </c>
      <c r="B56" s="35">
        <f>B57</f>
        <v>0</v>
      </c>
      <c r="C56" s="35">
        <f t="shared" si="2"/>
        <v>0</v>
      </c>
      <c r="D56" s="35">
        <f>D57</f>
        <v>0</v>
      </c>
      <c r="E56" s="15">
        <f>C56-D56</f>
        <v>0</v>
      </c>
      <c r="F56" s="22">
        <f>тариф!C17</f>
        <v>0</v>
      </c>
    </row>
    <row r="57" spans="1:7" ht="15.75" x14ac:dyDescent="0.25">
      <c r="A57" s="38" t="s">
        <v>84</v>
      </c>
      <c r="B57" s="35">
        <f>F56</f>
        <v>0</v>
      </c>
      <c r="C57" s="35">
        <f t="shared" si="2"/>
        <v>0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287.73092000000003</v>
      </c>
      <c r="C58" s="35">
        <f t="shared" si="2"/>
        <v>2589.5782800000002</v>
      </c>
      <c r="D58" s="35">
        <f>D59</f>
        <v>0</v>
      </c>
      <c r="E58" s="15">
        <f t="shared" si="1"/>
        <v>2589.5782800000002</v>
      </c>
      <c r="F58" s="22">
        <f>тариф!C18+тариф!C19</f>
        <v>287.73092000000003</v>
      </c>
    </row>
    <row r="59" spans="1:7" ht="18.75" customHeight="1" x14ac:dyDescent="0.25">
      <c r="A59" s="38" t="s">
        <v>151</v>
      </c>
      <c r="B59" s="35">
        <f>F58</f>
        <v>287.73092000000003</v>
      </c>
      <c r="C59" s="35">
        <f t="shared" si="2"/>
        <v>2589.5782800000002</v>
      </c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>
        <f t="shared" si="1"/>
        <v>0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</v>
      </c>
      <c r="B62" s="35">
        <f>B63</f>
        <v>387.22352000000001</v>
      </c>
      <c r="C62" s="35">
        <f t="shared" si="2"/>
        <v>3485.0116800000001</v>
      </c>
      <c r="D62" s="35">
        <f>D63</f>
        <v>0</v>
      </c>
      <c r="E62" s="15">
        <f t="shared" si="1"/>
        <v>3485.0116800000001</v>
      </c>
      <c r="F62" s="22">
        <f>тариф!C20</f>
        <v>387.22352000000001</v>
      </c>
    </row>
    <row r="63" spans="1:7" ht="33" customHeight="1" x14ac:dyDescent="0.25">
      <c r="A63" s="39" t="s">
        <v>40</v>
      </c>
      <c r="B63" s="35">
        <f>F62</f>
        <v>387.22352000000001</v>
      </c>
      <c r="C63" s="35">
        <f t="shared" si="2"/>
        <v>3485.0116800000001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3569.3075200000003</v>
      </c>
      <c r="C64" s="35">
        <f t="shared" si="2"/>
        <v>32123.767680000004</v>
      </c>
      <c r="D64" s="16">
        <f t="shared" ref="D64" si="4">D65+D66+D71+D72+D77+D79</f>
        <v>0</v>
      </c>
      <c r="E64" s="15">
        <f t="shared" si="1"/>
        <v>32123.767680000004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1100.12788</v>
      </c>
      <c r="C66" s="35">
        <f t="shared" si="2"/>
        <v>9901.15092</v>
      </c>
      <c r="D66" s="35">
        <f>SUM(D67:D70)</f>
        <v>0</v>
      </c>
      <c r="E66" s="15">
        <f t="shared" si="1"/>
        <v>9901.15092</v>
      </c>
      <c r="F66" s="22">
        <f>тариф!C23</f>
        <v>1100.12788</v>
      </c>
      <c r="G66" s="107" t="s">
        <v>145</v>
      </c>
    </row>
    <row r="67" spans="1:7" ht="15.75" x14ac:dyDescent="0.25">
      <c r="A67" s="37" t="s">
        <v>147</v>
      </c>
      <c r="B67" s="35">
        <f>F67</f>
        <v>726.79945904761905</v>
      </c>
      <c r="C67" s="35">
        <f t="shared" si="2"/>
        <v>6541.1951314285716</v>
      </c>
      <c r="D67" s="35"/>
      <c r="E67" s="15"/>
      <c r="F67" s="22">
        <f>G69</f>
        <v>726.79945904761905</v>
      </c>
      <c r="G67" s="1">
        <v>12188</v>
      </c>
    </row>
    <row r="68" spans="1:7" ht="15.75" x14ac:dyDescent="0.25">
      <c r="A68" s="37" t="s">
        <v>37</v>
      </c>
      <c r="B68" s="35">
        <f t="shared" ref="B68:B69" si="5">F68</f>
        <v>219.49343663238093</v>
      </c>
      <c r="C68" s="35">
        <f t="shared" si="2"/>
        <v>1975.4409296914284</v>
      </c>
      <c r="D68" s="35"/>
      <c r="E68" s="15"/>
      <c r="F68" s="22">
        <f>F67*0.302</f>
        <v>219.49343663238093</v>
      </c>
      <c r="G68" s="105">
        <f>'ТХ МКД'!B30/5250</f>
        <v>5.9632380952380951E-2</v>
      </c>
    </row>
    <row r="69" spans="1:7" ht="15.75" x14ac:dyDescent="0.25">
      <c r="A69" s="37" t="s">
        <v>38</v>
      </c>
      <c r="B69" s="35">
        <f t="shared" si="5"/>
        <v>153.83498432000002</v>
      </c>
      <c r="C69" s="35">
        <f t="shared" si="2"/>
        <v>1384.5148588800002</v>
      </c>
      <c r="D69" s="35"/>
      <c r="E69" s="15"/>
      <c r="F69" s="22">
        <f>F66-F67-F68</f>
        <v>153.83498432000002</v>
      </c>
      <c r="G69" s="101">
        <f>G67*G68</f>
        <v>726.79945904761905</v>
      </c>
    </row>
    <row r="70" spans="1:7" ht="15.75" x14ac:dyDescent="0.25">
      <c r="A70" s="37" t="s">
        <v>0</v>
      </c>
      <c r="B70" s="35"/>
      <c r="C70" s="35">
        <f t="shared" si="2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1101.2193600000001</v>
      </c>
      <c r="C72" s="35">
        <f t="shared" si="2"/>
        <v>9910.9742399999996</v>
      </c>
      <c r="D72" s="35">
        <f>SUM(D73:D76)</f>
        <v>0</v>
      </c>
      <c r="E72" s="15">
        <f t="shared" si="1"/>
        <v>9910.9742399999996</v>
      </c>
      <c r="F72" s="22">
        <f>тариф!C25</f>
        <v>1101.2193600000001</v>
      </c>
      <c r="G72" s="1" t="s">
        <v>146</v>
      </c>
    </row>
    <row r="73" spans="1:7" ht="31.5" x14ac:dyDescent="0.25">
      <c r="A73" s="37" t="s">
        <v>148</v>
      </c>
      <c r="B73" s="35">
        <f>F73</f>
        <v>689.88679245283015</v>
      </c>
      <c r="C73" s="35">
        <f t="shared" si="2"/>
        <v>6208.9811320754716</v>
      </c>
      <c r="D73" s="35"/>
      <c r="E73" s="15"/>
      <c r="F73" s="22">
        <f>G75</f>
        <v>689.88679245283015</v>
      </c>
      <c r="G73" s="1">
        <v>12188</v>
      </c>
    </row>
    <row r="74" spans="1:7" ht="15.75" x14ac:dyDescent="0.25">
      <c r="A74" s="37" t="s">
        <v>37</v>
      </c>
      <c r="B74" s="35">
        <f>B73*0.302</f>
        <v>208.34581132075471</v>
      </c>
      <c r="C74" s="35">
        <f t="shared" si="2"/>
        <v>1875.1123018867925</v>
      </c>
      <c r="D74" s="35"/>
      <c r="E74" s="15"/>
      <c r="F74" s="22">
        <f>F73*0.302</f>
        <v>208.34581132075471</v>
      </c>
      <c r="G74" s="84">
        <f>'ТХ МКД'!B18/530</f>
        <v>5.6603773584905662E-2</v>
      </c>
    </row>
    <row r="75" spans="1:7" ht="15.75" x14ac:dyDescent="0.25">
      <c r="A75" s="37" t="s">
        <v>38</v>
      </c>
      <c r="B75" s="35">
        <f>F72-B74-B73</f>
        <v>202.9867562264152</v>
      </c>
      <c r="C75" s="35">
        <f t="shared" ref="C75:C85" si="6">B75*9</f>
        <v>1826.8808060377369</v>
      </c>
      <c r="D75" s="35"/>
      <c r="E75" s="15"/>
      <c r="F75" s="22">
        <f>F72-F73-F74</f>
        <v>202.9867562264152</v>
      </c>
      <c r="G75" s="101">
        <f>G73*G74</f>
        <v>689.88679245283015</v>
      </c>
    </row>
    <row r="76" spans="1:7" ht="15.75" x14ac:dyDescent="0.25">
      <c r="A76" s="37" t="s">
        <v>0</v>
      </c>
      <c r="B76" s="35"/>
      <c r="C76" s="35">
        <f t="shared" si="6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310.14823999999999</v>
      </c>
      <c r="C77" s="35">
        <f t="shared" si="6"/>
        <v>2791.3341599999999</v>
      </c>
      <c r="D77" s="35">
        <f>D78</f>
        <v>0</v>
      </c>
      <c r="E77" s="15">
        <f t="shared" ref="E77:E117" si="7">C77-D77</f>
        <v>2791.3341599999999</v>
      </c>
      <c r="F77" s="22">
        <f>тариф!C26</f>
        <v>310.14823999999999</v>
      </c>
    </row>
    <row r="78" spans="1:7" ht="33" customHeight="1" x14ac:dyDescent="0.25">
      <c r="A78" s="38" t="s">
        <v>40</v>
      </c>
      <c r="B78" s="35">
        <f>F77</f>
        <v>310.14823999999999</v>
      </c>
      <c r="C78" s="35">
        <f t="shared" si="6"/>
        <v>2791.3341599999999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1057.81204</v>
      </c>
      <c r="C79" s="35">
        <f t="shared" si="6"/>
        <v>9520.3083600000009</v>
      </c>
      <c r="D79" s="35">
        <f>SUM(D80:D83)</f>
        <v>0</v>
      </c>
      <c r="E79" s="15">
        <f t="shared" si="7"/>
        <v>9520.3083600000009</v>
      </c>
      <c r="F79" s="22">
        <f>тариф!C27</f>
        <v>1057.81204</v>
      </c>
    </row>
    <row r="80" spans="1:7" ht="15.75" x14ac:dyDescent="0.25">
      <c r="A80" s="37" t="s">
        <v>36</v>
      </c>
      <c r="B80" s="35"/>
      <c r="C80" s="35">
        <f t="shared" si="6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x14ac:dyDescent="0.25">
      <c r="A84" s="29" t="s">
        <v>24</v>
      </c>
      <c r="B84" s="15">
        <f>тариф!C28</f>
        <v>975.61519999999996</v>
      </c>
      <c r="C84" s="35">
        <f t="shared" si="6"/>
        <v>8780.5367999999999</v>
      </c>
      <c r="D84" s="15"/>
      <c r="E84" s="15">
        <f t="shared" si="7"/>
        <v>8780.5367999999999</v>
      </c>
      <c r="F84" s="22"/>
    </row>
    <row r="85" spans="1:6" ht="31.5" x14ac:dyDescent="0.25">
      <c r="A85" s="29" t="s">
        <v>80</v>
      </c>
      <c r="B85" s="15">
        <f>тариф!C29</f>
        <v>2773.36672</v>
      </c>
      <c r="C85" s="35">
        <f t="shared" si="6"/>
        <v>24960.300479999998</v>
      </c>
      <c r="D85" s="15">
        <f>D86+D97</f>
        <v>0</v>
      </c>
      <c r="E85" s="15">
        <f t="shared" si="7"/>
        <v>24960.300479999998</v>
      </c>
      <c r="F85" s="22"/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/>
      <c r="E87" s="15"/>
      <c r="F87" s="50"/>
    </row>
    <row r="88" spans="1:6" ht="15.75" x14ac:dyDescent="0.25">
      <c r="A88" s="70" t="s">
        <v>37</v>
      </c>
      <c r="B88" s="15"/>
      <c r="C88" s="35"/>
      <c r="D88" s="35"/>
      <c r="E88" s="15"/>
      <c r="F88" s="50"/>
    </row>
    <row r="89" spans="1:6" ht="15.75" x14ac:dyDescent="0.25">
      <c r="A89" s="70" t="s">
        <v>50</v>
      </c>
      <c r="B89" s="15"/>
      <c r="C89" s="35"/>
      <c r="D89" s="35"/>
      <c r="E89" s="15"/>
      <c r="F89" s="50"/>
    </row>
    <row r="90" spans="1:6" ht="15.75" x14ac:dyDescent="0.25">
      <c r="A90" s="70" t="s">
        <v>51</v>
      </c>
      <c r="B90" s="15"/>
      <c r="C90" s="35"/>
      <c r="D90" s="35"/>
      <c r="E90" s="15"/>
      <c r="F90" s="50"/>
    </row>
    <row r="91" spans="1:6" ht="15.75" x14ac:dyDescent="0.25">
      <c r="A91" s="70" t="s">
        <v>76</v>
      </c>
      <c r="B91" s="15"/>
      <c r="C91" s="35"/>
      <c r="D91" s="35"/>
      <c r="E91" s="15"/>
      <c r="F91" s="50"/>
    </row>
    <row r="92" spans="1:6" ht="15.75" x14ac:dyDescent="0.25">
      <c r="A92" s="70" t="s">
        <v>52</v>
      </c>
      <c r="B92" s="15"/>
      <c r="C92" s="35"/>
      <c r="D92" s="35"/>
      <c r="E92" s="15"/>
      <c r="F92" s="50"/>
    </row>
    <row r="93" spans="1:6" ht="15.75" x14ac:dyDescent="0.25">
      <c r="A93" s="70" t="s">
        <v>77</v>
      </c>
      <c r="B93" s="15"/>
      <c r="C93" s="35"/>
      <c r="D93" s="35"/>
      <c r="E93" s="15"/>
      <c r="F93" s="50"/>
    </row>
    <row r="94" spans="1:6" ht="15.75" x14ac:dyDescent="0.25">
      <c r="A94" s="70" t="s">
        <v>53</v>
      </c>
      <c r="B94" s="15"/>
      <c r="C94" s="35"/>
      <c r="D94" s="35"/>
      <c r="E94" s="15"/>
      <c r="F94" s="50"/>
    </row>
    <row r="95" spans="1:6" ht="15.75" x14ac:dyDescent="0.25">
      <c r="A95" s="70" t="s">
        <v>54</v>
      </c>
      <c r="B95" s="15"/>
      <c r="C95" s="35"/>
      <c r="D95" s="35"/>
      <c r="E95" s="15"/>
      <c r="F95" s="50"/>
    </row>
    <row r="96" spans="1:6" ht="15.75" x14ac:dyDescent="0.25">
      <c r="A96" s="70" t="s">
        <v>0</v>
      </c>
      <c r="B96" s="15"/>
      <c r="C96" s="35"/>
      <c r="D96" s="35"/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/>
      <c r="E98" s="15"/>
      <c r="F98" s="50"/>
    </row>
    <row r="99" spans="1:6" ht="15.75" x14ac:dyDescent="0.25">
      <c r="A99" s="71" t="s">
        <v>37</v>
      </c>
      <c r="B99" s="15"/>
      <c r="C99" s="35"/>
      <c r="D99" s="35"/>
      <c r="E99" s="15"/>
      <c r="F99" s="50"/>
    </row>
    <row r="100" spans="1:6" ht="30" x14ac:dyDescent="0.25">
      <c r="A100" s="71" t="s">
        <v>55</v>
      </c>
      <c r="B100" s="15"/>
      <c r="C100" s="35"/>
      <c r="D100" s="35"/>
      <c r="E100" s="15"/>
      <c r="F100" s="50"/>
    </row>
    <row r="101" spans="1:6" ht="15.75" x14ac:dyDescent="0.25">
      <c r="A101" s="72" t="s">
        <v>56</v>
      </c>
      <c r="B101" s="15"/>
      <c r="C101" s="35"/>
      <c r="D101" s="35"/>
      <c r="E101" s="15"/>
      <c r="F101" s="50"/>
    </row>
    <row r="102" spans="1:6" ht="15.75" x14ac:dyDescent="0.25">
      <c r="A102" s="72" t="s">
        <v>57</v>
      </c>
      <c r="B102" s="15"/>
      <c r="C102" s="35"/>
      <c r="D102" s="35"/>
      <c r="E102" s="15"/>
      <c r="F102" s="50"/>
    </row>
    <row r="103" spans="1:6" ht="15.75" x14ac:dyDescent="0.25">
      <c r="A103" s="72" t="s">
        <v>58</v>
      </c>
      <c r="B103" s="15"/>
      <c r="C103" s="35"/>
      <c r="D103" s="35"/>
      <c r="E103" s="15"/>
      <c r="F103" s="50"/>
    </row>
    <row r="104" spans="1:6" ht="15.75" x14ac:dyDescent="0.25">
      <c r="A104" s="72" t="s">
        <v>59</v>
      </c>
      <c r="B104" s="15"/>
      <c r="C104" s="35"/>
      <c r="D104" s="35"/>
      <c r="E104" s="15"/>
      <c r="F104" s="50"/>
    </row>
    <row r="105" spans="1:6" ht="15.75" x14ac:dyDescent="0.25">
      <c r="A105" s="72" t="s">
        <v>60</v>
      </c>
      <c r="B105" s="15"/>
      <c r="C105" s="35"/>
      <c r="D105" s="35"/>
      <c r="E105" s="15"/>
      <c r="F105" s="50"/>
    </row>
    <row r="106" spans="1:6" ht="15.75" x14ac:dyDescent="0.25">
      <c r="A106" s="72" t="s">
        <v>61</v>
      </c>
      <c r="B106" s="15"/>
      <c r="C106" s="35"/>
      <c r="D106" s="35"/>
      <c r="E106" s="15"/>
      <c r="F106" s="50"/>
    </row>
    <row r="107" spans="1:6" ht="15.75" x14ac:dyDescent="0.25">
      <c r="A107" s="72" t="s">
        <v>62</v>
      </c>
      <c r="B107" s="15"/>
      <c r="C107" s="35"/>
      <c r="D107" s="35"/>
      <c r="E107" s="15"/>
      <c r="F107" s="50"/>
    </row>
    <row r="108" spans="1:6" ht="15.75" x14ac:dyDescent="0.25">
      <c r="A108" s="73" t="s">
        <v>63</v>
      </c>
      <c r="B108" s="15"/>
      <c r="C108" s="35"/>
      <c r="D108" s="35"/>
      <c r="E108" s="15"/>
      <c r="F108" s="50"/>
    </row>
    <row r="109" spans="1:6" ht="15.75" x14ac:dyDescent="0.25">
      <c r="A109" s="72" t="s">
        <v>64</v>
      </c>
      <c r="B109" s="15"/>
      <c r="C109" s="35"/>
      <c r="D109" s="35"/>
      <c r="E109" s="15"/>
      <c r="F109" s="50"/>
    </row>
    <row r="110" spans="1:6" ht="15.75" x14ac:dyDescent="0.25">
      <c r="A110" s="72" t="s">
        <v>65</v>
      </c>
      <c r="B110" s="15"/>
      <c r="C110" s="35"/>
      <c r="D110" s="35"/>
      <c r="E110" s="15"/>
      <c r="F110" s="50"/>
    </row>
    <row r="111" spans="1:6" ht="15.75" x14ac:dyDescent="0.25">
      <c r="A111" s="72" t="s">
        <v>78</v>
      </c>
      <c r="B111" s="15"/>
      <c r="C111" s="35"/>
      <c r="D111" s="35"/>
      <c r="E111" s="15"/>
      <c r="F111" s="50"/>
    </row>
    <row r="112" spans="1:6" ht="15.75" x14ac:dyDescent="0.25">
      <c r="A112" s="73" t="s">
        <v>66</v>
      </c>
      <c r="B112" s="15"/>
      <c r="C112" s="35"/>
      <c r="D112" s="35"/>
      <c r="E112" s="15"/>
      <c r="F112" s="50"/>
    </row>
    <row r="113" spans="1:7" ht="15.75" x14ac:dyDescent="0.25">
      <c r="A113" s="72" t="s">
        <v>67</v>
      </c>
      <c r="B113" s="15"/>
      <c r="C113" s="35"/>
      <c r="D113" s="35"/>
      <c r="E113" s="15"/>
      <c r="F113" s="50"/>
    </row>
    <row r="114" spans="1:7" ht="25.5" x14ac:dyDescent="0.25">
      <c r="A114" s="72" t="s">
        <v>79</v>
      </c>
      <c r="B114" s="15"/>
      <c r="C114" s="35"/>
      <c r="D114" s="35"/>
      <c r="E114" s="15"/>
      <c r="F114" s="50"/>
    </row>
    <row r="115" spans="1:7" ht="15.75" x14ac:dyDescent="0.25">
      <c r="A115" s="73" t="s">
        <v>68</v>
      </c>
      <c r="B115" s="15"/>
      <c r="C115" s="35"/>
      <c r="D115" s="35"/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/>
      <c r="E116" s="15"/>
      <c r="F116" s="50"/>
    </row>
    <row r="117" spans="1:7" ht="18" customHeight="1" x14ac:dyDescent="0.25">
      <c r="A117" s="33" t="s">
        <v>35</v>
      </c>
      <c r="B117" s="17">
        <f>B85+B84+B64+B35+B9</f>
        <v>9651.9576400000005</v>
      </c>
      <c r="C117" s="17">
        <f>C85+C84+C64+C35+C9</f>
        <v>86867.618759999983</v>
      </c>
      <c r="D117" s="17">
        <f>D85+D84+D64+D35+D9</f>
        <v>0</v>
      </c>
      <c r="E117" s="15">
        <f t="shared" si="7"/>
        <v>86867.618759999983</v>
      </c>
      <c r="F117" s="52"/>
      <c r="G117" s="17">
        <v>30151.506310000001</v>
      </c>
    </row>
    <row r="118" spans="1:7" ht="16.5" customHeight="1" x14ac:dyDescent="0.25">
      <c r="A118" s="29" t="s">
        <v>27</v>
      </c>
      <c r="B118" s="28">
        <f>тариф!B31</f>
        <v>839.6</v>
      </c>
      <c r="C118" s="28">
        <f>тариф!B31</f>
        <v>839.6</v>
      </c>
      <c r="D118" s="28">
        <f>тариф!B31</f>
        <v>839.6</v>
      </c>
      <c r="E118" s="54"/>
      <c r="F118" s="14"/>
    </row>
    <row r="119" spans="1:7" ht="15.75" x14ac:dyDescent="0.25">
      <c r="A119" s="40" t="s">
        <v>39</v>
      </c>
      <c r="B119" s="41">
        <f>B117/B118</f>
        <v>11.495900000000001</v>
      </c>
      <c r="C119" s="41">
        <f>C117/C118/9</f>
        <v>11.495899999999999</v>
      </c>
      <c r="D119" s="41"/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topLeftCell="A55" zoomScaleNormal="100" workbookViewId="0">
      <selection activeCell="D98" sqref="D98:D116"/>
    </sheetView>
  </sheetViews>
  <sheetFormatPr defaultRowHeight="15" x14ac:dyDescent="0.25"/>
  <cols>
    <col min="1" max="1" width="56.42578125" style="1" customWidth="1"/>
    <col min="2" max="2" width="14.28515625" style="2" customWidth="1"/>
    <col min="3" max="3" width="12.85546875" style="2" customWidth="1"/>
    <col min="4" max="4" width="14.28515625" style="2" customWidth="1"/>
    <col min="5" max="5" width="19.28515625" style="2" customWidth="1"/>
    <col min="6" max="6" width="17.140625" style="2" customWidth="1"/>
    <col min="7" max="7" width="20.28515625" style="1" customWidth="1"/>
    <col min="8" max="8" width="11.140625" style="1" customWidth="1"/>
    <col min="9" max="12" width="9.140625" style="1" customWidth="1"/>
    <col min="13" max="16384" width="9.140625" style="1"/>
  </cols>
  <sheetData>
    <row r="1" spans="1:10" ht="26.25" customHeight="1" x14ac:dyDescent="0.25">
      <c r="A1" s="68" t="s">
        <v>47</v>
      </c>
      <c r="B1" s="48"/>
      <c r="C1" s="48"/>
      <c r="D1" s="48"/>
      <c r="E1" s="48"/>
    </row>
    <row r="2" spans="1:10" ht="26.25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38" t="s">
        <v>150</v>
      </c>
      <c r="B3" s="138"/>
      <c r="C3" s="138"/>
      <c r="D3" s="138"/>
      <c r="E3" s="138"/>
      <c r="F3" s="20"/>
    </row>
    <row r="4" spans="1:10" ht="22.5" customHeight="1" x14ac:dyDescent="0.25">
      <c r="A4" s="57" t="s">
        <v>1</v>
      </c>
      <c r="B4" s="139" t="str">
        <f>тариф!B2</f>
        <v>Тимирязева, 27 /1</v>
      </c>
      <c r="C4" s="140"/>
      <c r="D4" s="140"/>
      <c r="E4" s="141"/>
      <c r="F4" s="25"/>
    </row>
    <row r="5" spans="1:10" ht="20.25" customHeight="1" x14ac:dyDescent="0.25">
      <c r="A5" s="142" t="s">
        <v>30</v>
      </c>
      <c r="B5" s="145" t="s">
        <v>44</v>
      </c>
      <c r="C5" s="146"/>
      <c r="D5" s="51" t="s">
        <v>45</v>
      </c>
      <c r="E5" s="51" t="s">
        <v>72</v>
      </c>
    </row>
    <row r="6" spans="1:10" ht="18" customHeight="1" x14ac:dyDescent="0.25">
      <c r="A6" s="143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44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491.66976</v>
      </c>
      <c r="C9" s="15">
        <f>C10+C15+C20+C25+C30</f>
        <v>5900.0371200000009</v>
      </c>
      <c r="D9" s="15">
        <f t="shared" ref="D9" si="0">D10+D15+D20+D25+D30</f>
        <v>0</v>
      </c>
      <c r="E9" s="15">
        <f>C9-D9</f>
        <v>5900.0371200000009</v>
      </c>
      <c r="F9" s="23">
        <f>тариф!C5</f>
        <v>491.66976</v>
      </c>
      <c r="G9" s="106"/>
    </row>
    <row r="10" spans="1:10" ht="63.75" customHeight="1" x14ac:dyDescent="0.25">
      <c r="A10" s="31" t="s">
        <v>3</v>
      </c>
      <c r="B10" s="35">
        <f>F10</f>
        <v>40.972480000000004</v>
      </c>
      <c r="C10" s="35">
        <f>B10*12</f>
        <v>491.66976000000005</v>
      </c>
      <c r="D10" s="35">
        <f>SUM(D11:D14)</f>
        <v>0</v>
      </c>
      <c r="E10" s="15">
        <f t="shared" ref="E10:E72" si="1">C10-D10</f>
        <v>491.66976000000005</v>
      </c>
      <c r="F10" s="22">
        <f>тариф!C6</f>
        <v>40.972480000000004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>
        <f t="shared" ref="C11:C74" si="2">B11*12</f>
        <v>0</v>
      </c>
      <c r="D11" s="35">
        <v>0</v>
      </c>
      <c r="E11" s="15"/>
      <c r="F11" s="22">
        <f>G14+H14</f>
        <v>45.441963019190503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>
        <f t="shared" si="2"/>
        <v>0</v>
      </c>
      <c r="D12" s="35">
        <v>0</v>
      </c>
      <c r="E12" s="15"/>
      <c r="F12" s="22">
        <f>F11*0.302</f>
        <v>13.723472831795531</v>
      </c>
      <c r="G12" s="84">
        <f>('ТХ МКД'!B7+'ТХ МКД'!B28*0.5)*0.0111/1000</f>
        <v>1.3045830000000001E-2</v>
      </c>
      <c r="H12" s="84">
        <f>('ТХ МКД'!B7+'ТХ МКД'!B28*0.5)*0.00539/1000</f>
        <v>6.3348669999999992E-3</v>
      </c>
      <c r="I12" s="100"/>
    </row>
    <row r="13" spans="1:10" ht="14.25" customHeight="1" x14ac:dyDescent="0.25">
      <c r="A13" s="36" t="s">
        <v>38</v>
      </c>
      <c r="B13" s="35"/>
      <c r="C13" s="35">
        <f t="shared" si="2"/>
        <v>0</v>
      </c>
      <c r="D13" s="35">
        <v>0</v>
      </c>
      <c r="E13" s="15"/>
      <c r="F13" s="22">
        <f>F10-F11-F12</f>
        <v>-18.192955850986031</v>
      </c>
      <c r="G13" s="84">
        <f>G12*0.109</f>
        <v>1.4219954700000002E-3</v>
      </c>
      <c r="H13" s="84">
        <f>H12*0.1339</f>
        <v>8.4823869129999985E-4</v>
      </c>
    </row>
    <row r="14" spans="1:10" ht="14.25" customHeight="1" x14ac:dyDescent="0.25">
      <c r="A14" s="36" t="s">
        <v>0</v>
      </c>
      <c r="B14" s="35"/>
      <c r="C14" s="35">
        <f t="shared" si="2"/>
        <v>0</v>
      </c>
      <c r="D14" s="35">
        <v>0</v>
      </c>
      <c r="E14" s="15"/>
      <c r="F14" s="22"/>
      <c r="G14" s="101">
        <f>G11*G13</f>
        <v>27.556850213130005</v>
      </c>
      <c r="H14" s="101">
        <f>H11*H13</f>
        <v>17.885112806060498</v>
      </c>
    </row>
    <row r="15" spans="1:10" ht="33.75" customHeight="1" x14ac:dyDescent="0.25">
      <c r="A15" s="31" t="s">
        <v>4</v>
      </c>
      <c r="B15" s="35">
        <f>F15</f>
        <v>199.74083999999999</v>
      </c>
      <c r="C15" s="35">
        <f t="shared" si="2"/>
        <v>2396.8900800000001</v>
      </c>
      <c r="D15" s="35">
        <f>SUM(D16:D19)</f>
        <v>0</v>
      </c>
      <c r="E15" s="15">
        <f t="shared" si="1"/>
        <v>2396.8900800000001</v>
      </c>
      <c r="F15" s="22">
        <f>тариф!C7</f>
        <v>199.74083999999999</v>
      </c>
      <c r="G15" s="107" t="s">
        <v>135</v>
      </c>
      <c r="H15" s="107" t="s">
        <v>136</v>
      </c>
      <c r="I15" s="107" t="s">
        <v>137</v>
      </c>
    </row>
    <row r="16" spans="1:10" ht="15.75" customHeight="1" x14ac:dyDescent="0.25">
      <c r="A16" s="38" t="s">
        <v>36</v>
      </c>
      <c r="B16" s="35"/>
      <c r="C16" s="35">
        <f t="shared" si="2"/>
        <v>0</v>
      </c>
      <c r="D16" s="35">
        <v>0</v>
      </c>
      <c r="E16" s="15"/>
      <c r="F16" s="22">
        <f>G19+H19</f>
        <v>162.2719466644815</v>
      </c>
      <c r="G16" s="1">
        <v>21085</v>
      </c>
      <c r="H16" s="1">
        <v>19379</v>
      </c>
      <c r="I16" s="1">
        <v>16576</v>
      </c>
    </row>
    <row r="17" spans="1:9" ht="17.25" customHeight="1" x14ac:dyDescent="0.25">
      <c r="A17" s="37" t="s">
        <v>37</v>
      </c>
      <c r="B17" s="35"/>
      <c r="C17" s="35">
        <f t="shared" si="2"/>
        <v>0</v>
      </c>
      <c r="D17" s="35">
        <v>0</v>
      </c>
      <c r="E17" s="15"/>
      <c r="F17" s="22">
        <f>F16*0.302</f>
        <v>49.006127892673412</v>
      </c>
      <c r="G17" s="84">
        <f>('ТХ МКД'!B7+'ТХ МКД'!B28*0.5)*0.0018/1000</f>
        <v>2.11554E-3</v>
      </c>
      <c r="H17" s="84">
        <f>('ТХ МКД'!B7+'ТХ МКД'!B28*0.5)*0.02295/1000</f>
        <v>2.6973134999999999E-2</v>
      </c>
      <c r="I17" s="84">
        <f>('ТХ МКД'!B7+'ТХ МКД'!B28*0.5)*0.02295/1000</f>
        <v>2.6973134999999999E-2</v>
      </c>
    </row>
    <row r="18" spans="1:9" ht="17.25" customHeight="1" x14ac:dyDescent="0.25">
      <c r="A18" s="37" t="s">
        <v>38</v>
      </c>
      <c r="B18" s="35"/>
      <c r="C18" s="35">
        <f t="shared" si="2"/>
        <v>0</v>
      </c>
      <c r="D18" s="35">
        <v>0</v>
      </c>
      <c r="E18" s="15"/>
      <c r="F18" s="22">
        <f>F15-F16-F17</f>
        <v>-11.537234557154925</v>
      </c>
      <c r="G18" s="84">
        <f>G17*0.5079</f>
        <v>1.0744827660000001E-3</v>
      </c>
      <c r="H18" s="84">
        <f>H17*0.2671</f>
        <v>7.2045243585E-3</v>
      </c>
      <c r="I18" s="18"/>
    </row>
    <row r="19" spans="1:9" ht="17.25" customHeight="1" x14ac:dyDescent="0.25">
      <c r="A19" s="37" t="s">
        <v>0</v>
      </c>
      <c r="B19" s="35"/>
      <c r="C19" s="35">
        <f t="shared" si="2"/>
        <v>0</v>
      </c>
      <c r="D19" s="35">
        <v>0</v>
      </c>
      <c r="E19" s="15"/>
      <c r="F19" s="22"/>
      <c r="G19" s="101">
        <f>G16*G18</f>
        <v>22.655469121110002</v>
      </c>
      <c r="H19" s="101">
        <f>H16*H18</f>
        <v>139.6164775433715</v>
      </c>
      <c r="I19" s="102">
        <f>I18/2</f>
        <v>0</v>
      </c>
    </row>
    <row r="20" spans="1:9" ht="63.75" customHeight="1" x14ac:dyDescent="0.25">
      <c r="A20" s="31" t="s">
        <v>5</v>
      </c>
      <c r="B20" s="35">
        <f>F20</f>
        <v>19.142880000000002</v>
      </c>
      <c r="C20" s="35">
        <f t="shared" si="2"/>
        <v>229.71456000000001</v>
      </c>
      <c r="D20" s="35">
        <f>SUM(D21:D24)</f>
        <v>0</v>
      </c>
      <c r="E20" s="15">
        <f t="shared" si="1"/>
        <v>229.71456000000001</v>
      </c>
      <c r="F20" s="22">
        <f>тариф!C8</f>
        <v>19.142880000000002</v>
      </c>
      <c r="G20" s="107" t="s">
        <v>138</v>
      </c>
    </row>
    <row r="21" spans="1:9" ht="15.75" x14ac:dyDescent="0.25">
      <c r="A21" s="37" t="s">
        <v>36</v>
      </c>
      <c r="B21" s="35"/>
      <c r="C21" s="35">
        <f t="shared" si="2"/>
        <v>0</v>
      </c>
      <c r="D21" s="35">
        <v>0</v>
      </c>
      <c r="E21" s="15"/>
      <c r="F21" s="22">
        <f>G24</f>
        <v>24.108451709395201</v>
      </c>
      <c r="G21" s="1">
        <v>19379</v>
      </c>
    </row>
    <row r="22" spans="1:9" ht="15.75" x14ac:dyDescent="0.25">
      <c r="A22" s="37" t="s">
        <v>37</v>
      </c>
      <c r="B22" s="35"/>
      <c r="C22" s="35">
        <f t="shared" si="2"/>
        <v>0</v>
      </c>
      <c r="D22" s="35">
        <v>0</v>
      </c>
      <c r="E22" s="15"/>
      <c r="F22" s="22">
        <f>F21*0.302</f>
        <v>7.28075241623735</v>
      </c>
      <c r="G22" s="84">
        <f>('ТХ МКД'!B7+'ТХ МКД'!B28*0.5)*0.00888/1000</f>
        <v>1.0436664E-2</v>
      </c>
    </row>
    <row r="23" spans="1:9" ht="15.75" x14ac:dyDescent="0.25">
      <c r="A23" s="37" t="s">
        <v>38</v>
      </c>
      <c r="B23" s="35"/>
      <c r="C23" s="35">
        <f t="shared" si="2"/>
        <v>0</v>
      </c>
      <c r="D23" s="35">
        <v>0</v>
      </c>
      <c r="E23" s="15"/>
      <c r="F23" s="22">
        <f>F20-F21-F22</f>
        <v>-12.246324125632549</v>
      </c>
      <c r="G23" s="84">
        <f>G22*0.1192</f>
        <v>1.2440503488E-3</v>
      </c>
      <c r="H23" s="2"/>
    </row>
    <row r="24" spans="1:9" ht="15.75" x14ac:dyDescent="0.25">
      <c r="A24" s="37" t="s">
        <v>0</v>
      </c>
      <c r="B24" s="35"/>
      <c r="C24" s="35">
        <f t="shared" si="2"/>
        <v>0</v>
      </c>
      <c r="D24" s="35">
        <v>0</v>
      </c>
      <c r="E24" s="15"/>
      <c r="F24" s="22"/>
      <c r="G24" s="101">
        <f>G21*G23</f>
        <v>24.108451709395201</v>
      </c>
    </row>
    <row r="25" spans="1:9" ht="15.75" x14ac:dyDescent="0.25">
      <c r="A25" s="31" t="s">
        <v>6</v>
      </c>
      <c r="B25" s="35">
        <f>F25</f>
        <v>78.166760000000011</v>
      </c>
      <c r="C25" s="35">
        <f t="shared" si="2"/>
        <v>938.00112000000013</v>
      </c>
      <c r="D25" s="35">
        <f>SUM(D26:D29)</f>
        <v>0</v>
      </c>
      <c r="E25" s="15">
        <f t="shared" si="1"/>
        <v>938.00112000000013</v>
      </c>
      <c r="F25" s="22">
        <f>тариф!C9</f>
        <v>78.166760000000011</v>
      </c>
      <c r="G25" s="107" t="s">
        <v>139</v>
      </c>
    </row>
    <row r="26" spans="1:9" ht="15.75" x14ac:dyDescent="0.25">
      <c r="A26" s="37" t="s">
        <v>36</v>
      </c>
      <c r="B26" s="35"/>
      <c r="C26" s="35">
        <f t="shared" si="2"/>
        <v>0</v>
      </c>
      <c r="D26" s="35">
        <v>0</v>
      </c>
      <c r="E26" s="15"/>
      <c r="F26" s="22">
        <f>G28</f>
        <v>48.177823320000009</v>
      </c>
      <c r="G26" s="1">
        <v>12188</v>
      </c>
    </row>
    <row r="27" spans="1:9" ht="15.75" x14ac:dyDescent="0.25">
      <c r="A27" s="37" t="s">
        <v>37</v>
      </c>
      <c r="B27" s="35"/>
      <c r="C27" s="35">
        <f t="shared" si="2"/>
        <v>0</v>
      </c>
      <c r="D27" s="35">
        <v>0</v>
      </c>
      <c r="E27" s="15"/>
      <c r="F27" s="22">
        <f>F26*0.302</f>
        <v>14.549702642640002</v>
      </c>
      <c r="G27" s="84">
        <f>'ТХ МКД'!B27*0.0263/1000</f>
        <v>3.9528900000000006E-3</v>
      </c>
    </row>
    <row r="28" spans="1:9" ht="15.75" x14ac:dyDescent="0.25">
      <c r="A28" s="37" t="s">
        <v>38</v>
      </c>
      <c r="B28" s="35"/>
      <c r="C28" s="35">
        <f t="shared" si="2"/>
        <v>0</v>
      </c>
      <c r="D28" s="35">
        <v>0</v>
      </c>
      <c r="E28" s="15"/>
      <c r="F28" s="22">
        <f>F25-F26-F27</f>
        <v>15.43923403736</v>
      </c>
      <c r="G28" s="101">
        <f>G26*G27</f>
        <v>48.177823320000009</v>
      </c>
      <c r="H28" s="2"/>
    </row>
    <row r="29" spans="1:9" ht="15.75" x14ac:dyDescent="0.25">
      <c r="A29" s="37" t="s">
        <v>0</v>
      </c>
      <c r="B29" s="35"/>
      <c r="C29" s="35">
        <f t="shared" si="2"/>
        <v>0</v>
      </c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153.64680000000001</v>
      </c>
      <c r="C30" s="35">
        <f t="shared" si="2"/>
        <v>1843.7616000000003</v>
      </c>
      <c r="D30" s="35">
        <f>SUM(D31:D34)</f>
        <v>0</v>
      </c>
      <c r="E30" s="15">
        <f t="shared" si="1"/>
        <v>1843.7616000000003</v>
      </c>
      <c r="F30" s="22">
        <f>тариф!C10</f>
        <v>153.64680000000001</v>
      </c>
      <c r="G30" s="107" t="s">
        <v>140</v>
      </c>
    </row>
    <row r="31" spans="1:9" ht="15.75" x14ac:dyDescent="0.25">
      <c r="A31" s="37" t="s">
        <v>36</v>
      </c>
      <c r="B31" s="35"/>
      <c r="C31" s="35">
        <f t="shared" si="2"/>
        <v>0</v>
      </c>
      <c r="D31" s="35"/>
      <c r="E31" s="15"/>
      <c r="F31" s="22">
        <f>G34</f>
        <v>45.833156432209996</v>
      </c>
      <c r="G31" s="1">
        <v>19379</v>
      </c>
    </row>
    <row r="32" spans="1:9" ht="15.75" x14ac:dyDescent="0.25">
      <c r="A32" s="37" t="s">
        <v>37</v>
      </c>
      <c r="B32" s="35"/>
      <c r="C32" s="35">
        <f t="shared" si="2"/>
        <v>0</v>
      </c>
      <c r="D32" s="35"/>
      <c r="E32" s="15"/>
      <c r="F32" s="22">
        <f>F31*0.302</f>
        <v>13.841613242527419</v>
      </c>
      <c r="G32" s="84">
        <f>'ТХ МКД'!B21/1000*0.0763</f>
        <v>1.5298150000000002E-2</v>
      </c>
    </row>
    <row r="33" spans="1:8" ht="15.75" customHeight="1" x14ac:dyDescent="0.25">
      <c r="A33" s="37" t="s">
        <v>83</v>
      </c>
      <c r="B33" s="35"/>
      <c r="C33" s="35">
        <f t="shared" si="2"/>
        <v>0</v>
      </c>
      <c r="D33" s="35"/>
      <c r="E33" s="15"/>
      <c r="F33" s="22">
        <f>F30-F31-F32</f>
        <v>93.972030325262608</v>
      </c>
      <c r="G33" s="84">
        <f>G32*0.1546</f>
        <v>2.3650939899999999E-3</v>
      </c>
      <c r="H33" s="2"/>
    </row>
    <row r="34" spans="1:8" ht="15.75" x14ac:dyDescent="0.25">
      <c r="A34" s="37" t="s">
        <v>0</v>
      </c>
      <c r="B34" s="35"/>
      <c r="C34" s="35">
        <f t="shared" si="2"/>
        <v>0</v>
      </c>
      <c r="D34" s="35"/>
      <c r="E34" s="15"/>
      <c r="F34" s="22"/>
      <c r="G34" s="101">
        <f>G31*G33</f>
        <v>45.833156432209996</v>
      </c>
    </row>
    <row r="35" spans="1:8" ht="31.5" x14ac:dyDescent="0.25">
      <c r="A35" s="29" t="s">
        <v>8</v>
      </c>
      <c r="B35" s="15">
        <f>B36+B41+B46+B51+B56+B58+B60+B62</f>
        <v>1841.9984399999998</v>
      </c>
      <c r="C35" s="15">
        <f t="shared" ref="C35:D35" si="3">C36+C41+C46+C51+C56+C58+C60+C62</f>
        <v>22103.98128</v>
      </c>
      <c r="D35" s="15">
        <f t="shared" si="3"/>
        <v>0</v>
      </c>
      <c r="E35" s="15">
        <f t="shared" si="1"/>
        <v>22103.98128</v>
      </c>
      <c r="F35" s="23">
        <f>тариф!C12</f>
        <v>1841.9984399999998</v>
      </c>
      <c r="G35" s="103"/>
    </row>
    <row r="36" spans="1:8" ht="31.5" customHeight="1" x14ac:dyDescent="0.25">
      <c r="A36" s="31" t="s">
        <v>9</v>
      </c>
      <c r="B36" s="35">
        <f>F36</f>
        <v>749.84676000000002</v>
      </c>
      <c r="C36" s="35">
        <f t="shared" si="2"/>
        <v>8998.1611200000007</v>
      </c>
      <c r="D36" s="35">
        <f>SUM(D37:D40)</f>
        <v>0</v>
      </c>
      <c r="E36" s="15">
        <f t="shared" si="1"/>
        <v>8998.1611200000007</v>
      </c>
      <c r="F36" s="22">
        <f>тариф!C13</f>
        <v>749.84676000000002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>
        <f t="shared" si="2"/>
        <v>0</v>
      </c>
      <c r="D37" s="35">
        <v>0</v>
      </c>
      <c r="E37" s="15"/>
      <c r="F37" s="22">
        <f>G40+H40</f>
        <v>333.49332093019098</v>
      </c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>
        <f t="shared" si="2"/>
        <v>0</v>
      </c>
      <c r="D38" s="35">
        <v>0</v>
      </c>
      <c r="E38" s="15"/>
      <c r="F38" s="22">
        <f>F37*0.302</f>
        <v>100.71498292091768</v>
      </c>
      <c r="G38" s="84">
        <f>'ТХ МКД'!B14/325</f>
        <v>3.6923076923076927E-2</v>
      </c>
      <c r="H38" s="84">
        <f>('ТХ МКД'!B7+'ТХ МКД'!B28*0.5)*0.01631/1000</f>
        <v>1.9169143000000003E-2</v>
      </c>
    </row>
    <row r="39" spans="1:8" ht="15.75" x14ac:dyDescent="0.25">
      <c r="A39" s="37" t="s">
        <v>38</v>
      </c>
      <c r="B39" s="35"/>
      <c r="C39" s="35">
        <f t="shared" si="2"/>
        <v>0</v>
      </c>
      <c r="D39" s="35">
        <v>0</v>
      </c>
      <c r="E39" s="15"/>
      <c r="F39" s="22">
        <f>F36-F37-F38</f>
        <v>315.63845614889135</v>
      </c>
      <c r="G39" s="84">
        <f>G38*0.312746</f>
        <v>1.1547544615384618E-2</v>
      </c>
      <c r="H39" s="19">
        <f>H38*0.1819</f>
        <v>3.4868671117000006E-3</v>
      </c>
    </row>
    <row r="40" spans="1:8" ht="15.75" x14ac:dyDescent="0.25">
      <c r="A40" s="37" t="s">
        <v>0</v>
      </c>
      <c r="B40" s="35"/>
      <c r="C40" s="35">
        <f t="shared" si="2"/>
        <v>0</v>
      </c>
      <c r="D40" s="35">
        <v>0</v>
      </c>
      <c r="E40" s="15"/>
      <c r="F40" s="22"/>
      <c r="G40" s="101">
        <f>G37*G39</f>
        <v>256.14763465846158</v>
      </c>
      <c r="H40" s="101">
        <f>H37*H39</f>
        <v>77.34568627172942</v>
      </c>
    </row>
    <row r="41" spans="1:8" ht="15.75" x14ac:dyDescent="0.25">
      <c r="A41" s="31" t="s">
        <v>10</v>
      </c>
      <c r="B41" s="35">
        <f>F41</f>
        <v>148.94504000000001</v>
      </c>
      <c r="C41" s="35">
        <f t="shared" si="2"/>
        <v>1787.3404800000001</v>
      </c>
      <c r="D41" s="35">
        <f>SUM(D42:D45)</f>
        <v>0</v>
      </c>
      <c r="E41" s="15">
        <f t="shared" si="1"/>
        <v>1787.3404800000001</v>
      </c>
      <c r="F41" s="22">
        <f>тариф!C14</f>
        <v>148.94504000000001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>
        <f t="shared" si="2"/>
        <v>0</v>
      </c>
      <c r="D42" s="35">
        <v>0</v>
      </c>
      <c r="E42" s="15"/>
      <c r="F42" s="22">
        <f>G45</f>
        <v>209.03196893384614</v>
      </c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>
        <f t="shared" si="2"/>
        <v>0</v>
      </c>
      <c r="D43" s="35">
        <v>0</v>
      </c>
      <c r="E43" s="15"/>
      <c r="F43" s="22">
        <f>F42*0.302</f>
        <v>63.127654618021531</v>
      </c>
      <c r="G43" s="84">
        <f>('ТХ МКД'!B7+'ТХ МКД'!B28*0.5)/39000</f>
        <v>3.0135897435897434E-2</v>
      </c>
    </row>
    <row r="44" spans="1:8" ht="15.75" x14ac:dyDescent="0.25">
      <c r="A44" s="37" t="s">
        <v>38</v>
      </c>
      <c r="B44" s="35"/>
      <c r="C44" s="35">
        <f t="shared" si="2"/>
        <v>0</v>
      </c>
      <c r="D44" s="35">
        <v>0</v>
      </c>
      <c r="E44" s="15"/>
      <c r="F44" s="22">
        <f>F41-F42-F43</f>
        <v>-123.21458355186766</v>
      </c>
      <c r="G44" s="84">
        <f>G43*0.3127</f>
        <v>9.4234951282051276E-3</v>
      </c>
    </row>
    <row r="45" spans="1:8" ht="15.75" x14ac:dyDescent="0.25">
      <c r="A45" s="37" t="s">
        <v>0</v>
      </c>
      <c r="B45" s="35"/>
      <c r="C45" s="35">
        <f t="shared" si="2"/>
        <v>0</v>
      </c>
      <c r="D45" s="35">
        <v>0</v>
      </c>
      <c r="E45" s="15"/>
      <c r="F45" s="22"/>
      <c r="G45" s="101">
        <f>G42*G44</f>
        <v>209.03196893384614</v>
      </c>
    </row>
    <row r="46" spans="1:8" ht="15.75" x14ac:dyDescent="0.25">
      <c r="A46" s="31" t="s">
        <v>11</v>
      </c>
      <c r="B46" s="35">
        <f>F46</f>
        <v>211.74712</v>
      </c>
      <c r="C46" s="35">
        <f t="shared" si="2"/>
        <v>2540.9654399999999</v>
      </c>
      <c r="D46" s="35">
        <f>SUM(D47:D50)</f>
        <v>0</v>
      </c>
      <c r="E46" s="15">
        <f t="shared" si="1"/>
        <v>2540.9654399999999</v>
      </c>
      <c r="F46" s="22">
        <f>тариф!C15</f>
        <v>211.74712</v>
      </c>
      <c r="G46" s="107" t="s">
        <v>143</v>
      </c>
    </row>
    <row r="47" spans="1:8" ht="15.75" x14ac:dyDescent="0.25">
      <c r="A47" s="37" t="s">
        <v>36</v>
      </c>
      <c r="B47" s="35"/>
      <c r="C47" s="35">
        <f t="shared" si="2"/>
        <v>0</v>
      </c>
      <c r="D47" s="35">
        <v>0</v>
      </c>
      <c r="E47" s="15"/>
      <c r="F47" s="22">
        <f>G49</f>
        <v>112.45333333333333</v>
      </c>
      <c r="G47" s="1">
        <v>21085</v>
      </c>
    </row>
    <row r="48" spans="1:8" ht="15.75" x14ac:dyDescent="0.25">
      <c r="A48" s="37" t="s">
        <v>37</v>
      </c>
      <c r="B48" s="35"/>
      <c r="C48" s="35">
        <f t="shared" si="2"/>
        <v>0</v>
      </c>
      <c r="D48" s="35">
        <v>0</v>
      </c>
      <c r="E48" s="15"/>
      <c r="F48" s="22">
        <f>F47*0.302</f>
        <v>33.960906666666666</v>
      </c>
      <c r="G48" s="84">
        <f>'ТХ МКД'!B16/2250</f>
        <v>5.3333333333333332E-3</v>
      </c>
    </row>
    <row r="49" spans="1:7" ht="15.75" x14ac:dyDescent="0.25">
      <c r="A49" s="37" t="s">
        <v>38</v>
      </c>
      <c r="B49" s="35"/>
      <c r="C49" s="35">
        <f t="shared" si="2"/>
        <v>0</v>
      </c>
      <c r="D49" s="35">
        <v>0</v>
      </c>
      <c r="E49" s="15"/>
      <c r="F49" s="22">
        <f>F46-F47-F48</f>
        <v>65.332879999999989</v>
      </c>
      <c r="G49" s="101">
        <f>G47*G48</f>
        <v>112.45333333333333</v>
      </c>
    </row>
    <row r="50" spans="1:7" ht="15.75" x14ac:dyDescent="0.25">
      <c r="A50" s="37" t="s">
        <v>0</v>
      </c>
      <c r="B50" s="35"/>
      <c r="C50" s="35">
        <f t="shared" si="2"/>
        <v>0</v>
      </c>
      <c r="D50" s="35">
        <v>0</v>
      </c>
      <c r="E50" s="15"/>
      <c r="F50" s="22"/>
    </row>
    <row r="51" spans="1:7" ht="31.5" customHeight="1" x14ac:dyDescent="0.25">
      <c r="A51" s="32" t="s">
        <v>12</v>
      </c>
      <c r="B51" s="35">
        <f>F51</f>
        <v>56.50508</v>
      </c>
      <c r="C51" s="35">
        <f t="shared" si="2"/>
        <v>678.06096000000002</v>
      </c>
      <c r="D51" s="35">
        <f>SUM(D52:D55)</f>
        <v>0</v>
      </c>
      <c r="E51" s="15">
        <f t="shared" si="1"/>
        <v>678.06096000000002</v>
      </c>
      <c r="F51" s="22">
        <f>тариф!C16</f>
        <v>56.50508</v>
      </c>
      <c r="G51" s="107" t="s">
        <v>144</v>
      </c>
    </row>
    <row r="52" spans="1:7" ht="15.75" x14ac:dyDescent="0.25">
      <c r="A52" s="37" t="s">
        <v>74</v>
      </c>
      <c r="B52" s="35"/>
      <c r="C52" s="35">
        <f t="shared" si="2"/>
        <v>0</v>
      </c>
      <c r="D52" s="35"/>
      <c r="E52" s="15"/>
      <c r="F52" s="22">
        <f>G55</f>
        <v>62.242919999999998</v>
      </c>
      <c r="G52" s="1">
        <v>21085</v>
      </c>
    </row>
    <row r="53" spans="1:7" ht="15.75" x14ac:dyDescent="0.25">
      <c r="A53" s="37" t="s">
        <v>37</v>
      </c>
      <c r="B53" s="35"/>
      <c r="C53" s="35">
        <f t="shared" si="2"/>
        <v>0</v>
      </c>
      <c r="D53" s="35"/>
      <c r="E53" s="15"/>
      <c r="F53" s="22">
        <f>F52*0.302</f>
        <v>18.797361839999997</v>
      </c>
      <c r="G53" s="1">
        <f>'ТХ МКД'!B12/1250</f>
        <v>9.5999999999999992E-3</v>
      </c>
    </row>
    <row r="54" spans="1:7" ht="15.75" x14ac:dyDescent="0.25">
      <c r="A54" s="37" t="s">
        <v>38</v>
      </c>
      <c r="B54" s="35"/>
      <c r="C54" s="35">
        <f t="shared" si="2"/>
        <v>0</v>
      </c>
      <c r="D54" s="35"/>
      <c r="E54" s="15"/>
      <c r="F54" s="22">
        <f>F51-F52-F53</f>
        <v>-24.535201839999996</v>
      </c>
      <c r="G54" s="84">
        <f>G53*0.3075</f>
        <v>2.9519999999999998E-3</v>
      </c>
    </row>
    <row r="55" spans="1:7" ht="15.75" x14ac:dyDescent="0.25">
      <c r="A55" s="37" t="s">
        <v>0</v>
      </c>
      <c r="B55" s="35"/>
      <c r="C55" s="35">
        <f t="shared" si="2"/>
        <v>0</v>
      </c>
      <c r="D55" s="35"/>
      <c r="E55" s="15"/>
      <c r="F55" s="22"/>
      <c r="G55" s="101">
        <f>G52*G54</f>
        <v>62.242919999999998</v>
      </c>
    </row>
    <row r="56" spans="1:7" ht="31.5" x14ac:dyDescent="0.25">
      <c r="A56" s="31" t="s">
        <v>13</v>
      </c>
      <c r="B56" s="35">
        <f>B57</f>
        <v>0</v>
      </c>
      <c r="C56" s="35">
        <f t="shared" si="2"/>
        <v>0</v>
      </c>
      <c r="D56" s="35">
        <f>D57</f>
        <v>0</v>
      </c>
      <c r="E56" s="15">
        <f>C56-D56</f>
        <v>0</v>
      </c>
      <c r="F56" s="22">
        <f>тариф!C17</f>
        <v>0</v>
      </c>
    </row>
    <row r="57" spans="1:7" ht="15.75" x14ac:dyDescent="0.25">
      <c r="A57" s="38" t="s">
        <v>84</v>
      </c>
      <c r="B57" s="35">
        <f>F56</f>
        <v>0</v>
      </c>
      <c r="C57" s="35">
        <f t="shared" si="2"/>
        <v>0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287.73092000000003</v>
      </c>
      <c r="C58" s="35">
        <f t="shared" si="2"/>
        <v>3452.7710400000005</v>
      </c>
      <c r="D58" s="35">
        <f>D59</f>
        <v>0</v>
      </c>
      <c r="E58" s="15">
        <f t="shared" si="1"/>
        <v>3452.7710400000005</v>
      </c>
      <c r="F58" s="22">
        <f>тариф!C18+тариф!C19</f>
        <v>287.73092000000003</v>
      </c>
    </row>
    <row r="59" spans="1:7" ht="18.75" customHeight="1" x14ac:dyDescent="0.25">
      <c r="A59" s="38" t="s">
        <v>151</v>
      </c>
      <c r="B59" s="35">
        <f>F58</f>
        <v>287.73092000000003</v>
      </c>
      <c r="C59" s="35">
        <f t="shared" si="2"/>
        <v>3452.7710400000005</v>
      </c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>
        <f t="shared" si="1"/>
        <v>0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>
        <f t="shared" si="1"/>
        <v>0</v>
      </c>
      <c r="F61" s="22"/>
    </row>
    <row r="62" spans="1:7" ht="31.5" customHeight="1" x14ac:dyDescent="0.25">
      <c r="A62" s="32" t="s">
        <v>16</v>
      </c>
      <c r="B62" s="35">
        <f>B63</f>
        <v>387.22352000000001</v>
      </c>
      <c r="C62" s="35">
        <f t="shared" si="2"/>
        <v>4646.6822400000001</v>
      </c>
      <c r="D62" s="35">
        <f>D63</f>
        <v>0</v>
      </c>
      <c r="E62" s="15">
        <f t="shared" si="1"/>
        <v>4646.6822400000001</v>
      </c>
      <c r="F62" s="22">
        <f>тариф!C20</f>
        <v>387.22352000000001</v>
      </c>
    </row>
    <row r="63" spans="1:7" ht="33" customHeight="1" x14ac:dyDescent="0.25">
      <c r="A63" s="39" t="s">
        <v>40</v>
      </c>
      <c r="B63" s="35">
        <f>F62</f>
        <v>387.22352000000001</v>
      </c>
      <c r="C63" s="35">
        <f t="shared" si="2"/>
        <v>4646.6822400000001</v>
      </c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3569.3075200000003</v>
      </c>
      <c r="C64" s="16">
        <f t="shared" ref="C64:D64" si="4">C65+C66+C71+C72+C77+C79</f>
        <v>42831.690240000004</v>
      </c>
      <c r="D64" s="16">
        <f t="shared" si="4"/>
        <v>0</v>
      </c>
      <c r="E64" s="15">
        <f t="shared" si="1"/>
        <v>42831.690240000004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si="1"/>
        <v>0</v>
      </c>
      <c r="F65" s="22"/>
    </row>
    <row r="66" spans="1:7" ht="31.5" customHeight="1" x14ac:dyDescent="0.25">
      <c r="A66" s="31" t="s">
        <v>19</v>
      </c>
      <c r="B66" s="35">
        <f>SUM(B67:B70)</f>
        <v>1100.12788</v>
      </c>
      <c r="C66" s="35">
        <f t="shared" si="2"/>
        <v>13201.53456</v>
      </c>
      <c r="D66" s="35">
        <f>SUM(D67:D70)</f>
        <v>0</v>
      </c>
      <c r="E66" s="15">
        <f t="shared" si="1"/>
        <v>13201.53456</v>
      </c>
      <c r="F66" s="22">
        <f>тариф!C23</f>
        <v>1100.12788</v>
      </c>
      <c r="G66" s="107" t="s">
        <v>145</v>
      </c>
    </row>
    <row r="67" spans="1:7" ht="15.75" x14ac:dyDescent="0.25">
      <c r="A67" s="37" t="s">
        <v>147</v>
      </c>
      <c r="B67" s="35">
        <f>F67</f>
        <v>726.79945904761905</v>
      </c>
      <c r="C67" s="35">
        <f t="shared" si="2"/>
        <v>8721.5935085714282</v>
      </c>
      <c r="D67" s="35"/>
      <c r="E67" s="15"/>
      <c r="F67" s="22">
        <f>G69</f>
        <v>726.79945904761905</v>
      </c>
      <c r="G67" s="1">
        <v>12188</v>
      </c>
    </row>
    <row r="68" spans="1:7" ht="15.75" x14ac:dyDescent="0.25">
      <c r="A68" s="37" t="s">
        <v>37</v>
      </c>
      <c r="B68" s="35">
        <f t="shared" ref="B68:B69" si="5">F68</f>
        <v>219.49343663238093</v>
      </c>
      <c r="C68" s="35">
        <f t="shared" si="2"/>
        <v>2633.9212395885711</v>
      </c>
      <c r="D68" s="35"/>
      <c r="E68" s="15"/>
      <c r="F68" s="22">
        <f>F67*0.302</f>
        <v>219.49343663238093</v>
      </c>
      <c r="G68" s="105">
        <f>'ТХ МКД'!B30/5250</f>
        <v>5.9632380952380951E-2</v>
      </c>
    </row>
    <row r="69" spans="1:7" ht="15.75" x14ac:dyDescent="0.25">
      <c r="A69" s="37" t="s">
        <v>38</v>
      </c>
      <c r="B69" s="35">
        <f t="shared" si="5"/>
        <v>153.83498432000002</v>
      </c>
      <c r="C69" s="35">
        <f t="shared" si="2"/>
        <v>1846.0198118400003</v>
      </c>
      <c r="D69" s="35"/>
      <c r="E69" s="15"/>
      <c r="F69" s="22">
        <f>F66-F67-F68</f>
        <v>153.83498432000002</v>
      </c>
      <c r="G69" s="101">
        <f>G67*G68</f>
        <v>726.79945904761905</v>
      </c>
    </row>
    <row r="70" spans="1:7" ht="15.75" x14ac:dyDescent="0.25">
      <c r="A70" s="37" t="s">
        <v>0</v>
      </c>
      <c r="B70" s="35"/>
      <c r="C70" s="35">
        <f t="shared" si="2"/>
        <v>0</v>
      </c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1101.2193600000001</v>
      </c>
      <c r="C72" s="35">
        <f t="shared" si="2"/>
        <v>13214.632320000001</v>
      </c>
      <c r="D72" s="35">
        <f>SUM(D73:D76)</f>
        <v>0</v>
      </c>
      <c r="E72" s="15">
        <f t="shared" si="1"/>
        <v>13214.632320000001</v>
      </c>
      <c r="F72" s="22">
        <f>тариф!C25</f>
        <v>1101.2193600000001</v>
      </c>
      <c r="G72" s="1" t="s">
        <v>146</v>
      </c>
    </row>
    <row r="73" spans="1:7" ht="31.5" x14ac:dyDescent="0.25">
      <c r="A73" s="37" t="s">
        <v>148</v>
      </c>
      <c r="B73" s="35">
        <f>F73</f>
        <v>689.88679245283015</v>
      </c>
      <c r="C73" s="35">
        <f t="shared" si="2"/>
        <v>8278.6415094339609</v>
      </c>
      <c r="D73" s="35"/>
      <c r="E73" s="15"/>
      <c r="F73" s="22">
        <f>G75</f>
        <v>689.88679245283015</v>
      </c>
      <c r="G73" s="1">
        <v>12188</v>
      </c>
    </row>
    <row r="74" spans="1:7" ht="15.75" x14ac:dyDescent="0.25">
      <c r="A74" s="37" t="s">
        <v>37</v>
      </c>
      <c r="B74" s="35">
        <f>B73*0.302</f>
        <v>208.34581132075471</v>
      </c>
      <c r="C74" s="35">
        <f t="shared" si="2"/>
        <v>2500.1497358490565</v>
      </c>
      <c r="D74" s="35"/>
      <c r="E74" s="15"/>
      <c r="F74" s="22">
        <f>F73*0.302</f>
        <v>208.34581132075471</v>
      </c>
      <c r="G74" s="84">
        <f>'ТХ МКД'!B18/530</f>
        <v>5.6603773584905662E-2</v>
      </c>
    </row>
    <row r="75" spans="1:7" ht="15.75" x14ac:dyDescent="0.25">
      <c r="A75" s="37" t="s">
        <v>38</v>
      </c>
      <c r="B75" s="35">
        <f>F72-B74-B73</f>
        <v>202.9867562264152</v>
      </c>
      <c r="C75" s="35">
        <f t="shared" ref="C75:C85" si="6">B75*12</f>
        <v>2435.8410747169823</v>
      </c>
      <c r="D75" s="35"/>
      <c r="E75" s="15"/>
      <c r="F75" s="22">
        <f>F72-F73-F74</f>
        <v>202.9867562264152</v>
      </c>
      <c r="G75" s="101">
        <f>G73*G74</f>
        <v>689.88679245283015</v>
      </c>
    </row>
    <row r="76" spans="1:7" ht="15.75" x14ac:dyDescent="0.25">
      <c r="A76" s="37" t="s">
        <v>0</v>
      </c>
      <c r="B76" s="35"/>
      <c r="C76" s="35">
        <f t="shared" si="6"/>
        <v>0</v>
      </c>
      <c r="D76" s="35"/>
      <c r="E76" s="15"/>
      <c r="F76" s="22"/>
    </row>
    <row r="77" spans="1:7" ht="33.75" customHeight="1" x14ac:dyDescent="0.25">
      <c r="A77" s="31" t="s">
        <v>22</v>
      </c>
      <c r="B77" s="35">
        <f>B78</f>
        <v>310.14823999999999</v>
      </c>
      <c r="C77" s="35">
        <f t="shared" si="6"/>
        <v>3721.7788799999998</v>
      </c>
      <c r="D77" s="35">
        <f>D78</f>
        <v>0</v>
      </c>
      <c r="E77" s="15">
        <f t="shared" ref="E77:E117" si="7">C77-D77</f>
        <v>3721.7788799999998</v>
      </c>
      <c r="F77" s="22">
        <f>тариф!C26</f>
        <v>310.14823999999999</v>
      </c>
    </row>
    <row r="78" spans="1:7" ht="33" customHeight="1" x14ac:dyDescent="0.25">
      <c r="A78" s="38" t="s">
        <v>40</v>
      </c>
      <c r="B78" s="35">
        <f>F77</f>
        <v>310.14823999999999</v>
      </c>
      <c r="C78" s="35">
        <f t="shared" si="6"/>
        <v>3721.7788799999998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1057.81204</v>
      </c>
      <c r="C79" s="35">
        <f t="shared" si="6"/>
        <v>12693.744480000001</v>
      </c>
      <c r="D79" s="35">
        <f>SUM(D80:D83)</f>
        <v>0</v>
      </c>
      <c r="E79" s="15">
        <f t="shared" si="7"/>
        <v>12693.744480000001</v>
      </c>
      <c r="F79" s="22">
        <f>тариф!C27</f>
        <v>1057.81204</v>
      </c>
    </row>
    <row r="80" spans="1:7" ht="15.75" x14ac:dyDescent="0.25">
      <c r="A80" s="37" t="s">
        <v>36</v>
      </c>
      <c r="B80" s="35"/>
      <c r="C80" s="35">
        <f t="shared" si="6"/>
        <v>0</v>
      </c>
      <c r="D80" s="35"/>
      <c r="E80" s="15"/>
      <c r="F80" s="22"/>
    </row>
    <row r="81" spans="1:6" ht="15.75" x14ac:dyDescent="0.25">
      <c r="A81" s="37" t="s">
        <v>37</v>
      </c>
      <c r="B81" s="35"/>
      <c r="C81" s="35">
        <f t="shared" si="6"/>
        <v>0</v>
      </c>
      <c r="D81" s="35"/>
      <c r="E81" s="15"/>
      <c r="F81" s="22"/>
    </row>
    <row r="82" spans="1:6" ht="15.75" x14ac:dyDescent="0.25">
      <c r="A82" s="37" t="s">
        <v>38</v>
      </c>
      <c r="B82" s="35"/>
      <c r="C82" s="35">
        <f t="shared" si="6"/>
        <v>0</v>
      </c>
      <c r="D82" s="35"/>
      <c r="E82" s="15"/>
      <c r="F82" s="22"/>
    </row>
    <row r="83" spans="1:6" ht="15.75" x14ac:dyDescent="0.25">
      <c r="A83" s="37" t="s">
        <v>0</v>
      </c>
      <c r="B83" s="35"/>
      <c r="C83" s="35">
        <f t="shared" si="6"/>
        <v>0</v>
      </c>
      <c r="D83" s="35"/>
      <c r="E83" s="15"/>
      <c r="F83" s="22"/>
    </row>
    <row r="84" spans="1:6" ht="15.75" hidden="1" x14ac:dyDescent="0.25">
      <c r="A84" s="29" t="s">
        <v>24</v>
      </c>
      <c r="B84" s="15"/>
      <c r="C84" s="35">
        <f t="shared" si="6"/>
        <v>0</v>
      </c>
      <c r="D84" s="15"/>
      <c r="E84" s="15">
        <f t="shared" si="7"/>
        <v>0</v>
      </c>
      <c r="F84" s="22"/>
    </row>
    <row r="85" spans="1:6" ht="31.5" x14ac:dyDescent="0.25">
      <c r="A85" s="29" t="s">
        <v>80</v>
      </c>
      <c r="B85" s="15">
        <f>тариф!C28+тариф!C29</f>
        <v>3748.9819200000002</v>
      </c>
      <c r="C85" s="15">
        <f t="shared" si="6"/>
        <v>44987.783040000002</v>
      </c>
      <c r="D85" s="15">
        <f>D86+D97</f>
        <v>0</v>
      </c>
      <c r="E85" s="15">
        <f t="shared" si="7"/>
        <v>44987.783040000002</v>
      </c>
      <c r="F85" s="22"/>
    </row>
    <row r="86" spans="1:6" ht="17.25" customHeight="1" x14ac:dyDescent="0.25">
      <c r="A86" s="69" t="s">
        <v>70</v>
      </c>
      <c r="B86" s="15"/>
      <c r="C86" s="35"/>
      <c r="D86" s="15">
        <f>SUM(D87:D96)</f>
        <v>0</v>
      </c>
      <c r="E86" s="15"/>
      <c r="F86" s="22"/>
    </row>
    <row r="87" spans="1:6" ht="25.5" x14ac:dyDescent="0.25">
      <c r="A87" s="70" t="s">
        <v>85</v>
      </c>
      <c r="B87" s="15"/>
      <c r="C87" s="35"/>
      <c r="D87" s="35"/>
      <c r="E87" s="15"/>
      <c r="F87" s="50"/>
    </row>
    <row r="88" spans="1:6" ht="15.75" x14ac:dyDescent="0.25">
      <c r="A88" s="70" t="s">
        <v>37</v>
      </c>
      <c r="B88" s="15"/>
      <c r="C88" s="35"/>
      <c r="D88" s="35"/>
      <c r="E88" s="15"/>
      <c r="F88" s="50"/>
    </row>
    <row r="89" spans="1:6" ht="15.75" x14ac:dyDescent="0.25">
      <c r="A89" s="70" t="s">
        <v>50</v>
      </c>
      <c r="B89" s="15"/>
      <c r="C89" s="35"/>
      <c r="D89" s="35"/>
      <c r="E89" s="15"/>
      <c r="F89" s="50"/>
    </row>
    <row r="90" spans="1:6" ht="15.75" x14ac:dyDescent="0.25">
      <c r="A90" s="70" t="s">
        <v>51</v>
      </c>
      <c r="B90" s="15"/>
      <c r="C90" s="35"/>
      <c r="D90" s="35"/>
      <c r="E90" s="15"/>
      <c r="F90" s="50"/>
    </row>
    <row r="91" spans="1:6" ht="15.75" x14ac:dyDescent="0.25">
      <c r="A91" s="70" t="s">
        <v>76</v>
      </c>
      <c r="B91" s="15"/>
      <c r="C91" s="35"/>
      <c r="D91" s="35"/>
      <c r="E91" s="15"/>
      <c r="F91" s="50"/>
    </row>
    <row r="92" spans="1:6" ht="15.75" x14ac:dyDescent="0.25">
      <c r="A92" s="70" t="s">
        <v>52</v>
      </c>
      <c r="B92" s="15"/>
      <c r="C92" s="35"/>
      <c r="D92" s="35"/>
      <c r="E92" s="15"/>
      <c r="F92" s="50"/>
    </row>
    <row r="93" spans="1:6" ht="15.75" x14ac:dyDescent="0.25">
      <c r="A93" s="70" t="s">
        <v>77</v>
      </c>
      <c r="B93" s="15"/>
      <c r="C93" s="35"/>
      <c r="D93" s="35"/>
      <c r="E93" s="15"/>
      <c r="F93" s="50"/>
    </row>
    <row r="94" spans="1:6" ht="15.75" x14ac:dyDescent="0.25">
      <c r="A94" s="70" t="s">
        <v>53</v>
      </c>
      <c r="B94" s="15"/>
      <c r="C94" s="35"/>
      <c r="D94" s="35"/>
      <c r="E94" s="15"/>
      <c r="F94" s="50"/>
    </row>
    <row r="95" spans="1:6" ht="15.75" x14ac:dyDescent="0.25">
      <c r="A95" s="70" t="s">
        <v>54</v>
      </c>
      <c r="B95" s="15"/>
      <c r="C95" s="35"/>
      <c r="D95" s="35"/>
      <c r="E95" s="15"/>
      <c r="F95" s="50"/>
    </row>
    <row r="96" spans="1:6" ht="15.75" x14ac:dyDescent="0.25">
      <c r="A96" s="70" t="s">
        <v>0</v>
      </c>
      <c r="B96" s="15"/>
      <c r="C96" s="35"/>
      <c r="D96" s="35"/>
      <c r="E96" s="15"/>
      <c r="F96" s="50"/>
    </row>
    <row r="97" spans="1:6" ht="17.25" customHeight="1" x14ac:dyDescent="0.25">
      <c r="A97" s="69" t="s">
        <v>71</v>
      </c>
      <c r="B97" s="15"/>
      <c r="C97" s="35"/>
      <c r="D97" s="15">
        <f>D98+D99+D100+D108+D112+D115+D116</f>
        <v>0</v>
      </c>
      <c r="E97" s="15"/>
      <c r="F97" s="22"/>
    </row>
    <row r="98" spans="1:6" ht="30" x14ac:dyDescent="0.25">
      <c r="A98" s="71" t="s">
        <v>86</v>
      </c>
      <c r="B98" s="15"/>
      <c r="C98" s="35"/>
      <c r="D98" s="35"/>
      <c r="E98" s="15"/>
      <c r="F98" s="50"/>
    </row>
    <row r="99" spans="1:6" ht="15.75" x14ac:dyDescent="0.25">
      <c r="A99" s="71" t="s">
        <v>37</v>
      </c>
      <c r="B99" s="15"/>
      <c r="C99" s="35"/>
      <c r="D99" s="35"/>
      <c r="E99" s="15"/>
      <c r="F99" s="50"/>
    </row>
    <row r="100" spans="1:6" ht="30" x14ac:dyDescent="0.25">
      <c r="A100" s="71" t="s">
        <v>55</v>
      </c>
      <c r="B100" s="15"/>
      <c r="C100" s="35"/>
      <c r="D100" s="35"/>
      <c r="E100" s="15"/>
      <c r="F100" s="50"/>
    </row>
    <row r="101" spans="1:6" ht="15.75" x14ac:dyDescent="0.25">
      <c r="A101" s="72" t="s">
        <v>56</v>
      </c>
      <c r="B101" s="15"/>
      <c r="C101" s="35"/>
      <c r="D101" s="35"/>
      <c r="E101" s="15"/>
      <c r="F101" s="50"/>
    </row>
    <row r="102" spans="1:6" ht="15.75" x14ac:dyDescent="0.25">
      <c r="A102" s="72" t="s">
        <v>57</v>
      </c>
      <c r="B102" s="15"/>
      <c r="C102" s="35"/>
      <c r="D102" s="35"/>
      <c r="E102" s="15"/>
      <c r="F102" s="50"/>
    </row>
    <row r="103" spans="1:6" ht="15.75" x14ac:dyDescent="0.25">
      <c r="A103" s="72" t="s">
        <v>58</v>
      </c>
      <c r="B103" s="15"/>
      <c r="C103" s="35"/>
      <c r="D103" s="35"/>
      <c r="E103" s="15"/>
      <c r="F103" s="50"/>
    </row>
    <row r="104" spans="1:6" ht="15.75" x14ac:dyDescent="0.25">
      <c r="A104" s="72" t="s">
        <v>59</v>
      </c>
      <c r="B104" s="15"/>
      <c r="C104" s="35"/>
      <c r="D104" s="35"/>
      <c r="E104" s="15"/>
      <c r="F104" s="50"/>
    </row>
    <row r="105" spans="1:6" ht="15.75" x14ac:dyDescent="0.25">
      <c r="A105" s="72" t="s">
        <v>60</v>
      </c>
      <c r="B105" s="15"/>
      <c r="C105" s="35"/>
      <c r="D105" s="35"/>
      <c r="E105" s="15"/>
      <c r="F105" s="50"/>
    </row>
    <row r="106" spans="1:6" ht="15.75" x14ac:dyDescent="0.25">
      <c r="A106" s="72" t="s">
        <v>61</v>
      </c>
      <c r="B106" s="15"/>
      <c r="C106" s="35"/>
      <c r="D106" s="35"/>
      <c r="E106" s="15"/>
      <c r="F106" s="50"/>
    </row>
    <row r="107" spans="1:6" ht="15.75" x14ac:dyDescent="0.25">
      <c r="A107" s="72" t="s">
        <v>62</v>
      </c>
      <c r="B107" s="15"/>
      <c r="C107" s="35"/>
      <c r="D107" s="35"/>
      <c r="E107" s="15"/>
      <c r="F107" s="50"/>
    </row>
    <row r="108" spans="1:6" ht="15.75" x14ac:dyDescent="0.25">
      <c r="A108" s="73" t="s">
        <v>63</v>
      </c>
      <c r="B108" s="15"/>
      <c r="C108" s="35"/>
      <c r="D108" s="35"/>
      <c r="E108" s="15"/>
      <c r="F108" s="50"/>
    </row>
    <row r="109" spans="1:6" ht="15.75" x14ac:dyDescent="0.25">
      <c r="A109" s="72" t="s">
        <v>64</v>
      </c>
      <c r="B109" s="15"/>
      <c r="C109" s="35"/>
      <c r="D109" s="35"/>
      <c r="E109" s="15"/>
      <c r="F109" s="50"/>
    </row>
    <row r="110" spans="1:6" ht="15.75" x14ac:dyDescent="0.25">
      <c r="A110" s="72" t="s">
        <v>65</v>
      </c>
      <c r="B110" s="15"/>
      <c r="C110" s="35"/>
      <c r="D110" s="35"/>
      <c r="E110" s="15"/>
      <c r="F110" s="50"/>
    </row>
    <row r="111" spans="1:6" ht="15.75" x14ac:dyDescent="0.25">
      <c r="A111" s="72" t="s">
        <v>78</v>
      </c>
      <c r="B111" s="15"/>
      <c r="C111" s="35"/>
      <c r="D111" s="35"/>
      <c r="E111" s="15"/>
      <c r="F111" s="50"/>
    </row>
    <row r="112" spans="1:6" ht="15.75" x14ac:dyDescent="0.25">
      <c r="A112" s="73" t="s">
        <v>66</v>
      </c>
      <c r="B112" s="15"/>
      <c r="C112" s="35"/>
      <c r="D112" s="35"/>
      <c r="E112" s="15"/>
      <c r="F112" s="50"/>
    </row>
    <row r="113" spans="1:7" ht="15.75" x14ac:dyDescent="0.25">
      <c r="A113" s="72" t="s">
        <v>67</v>
      </c>
      <c r="B113" s="15"/>
      <c r="C113" s="35"/>
      <c r="D113" s="35"/>
      <c r="E113" s="15"/>
      <c r="F113" s="50"/>
    </row>
    <row r="114" spans="1:7" ht="25.5" x14ac:dyDescent="0.25">
      <c r="A114" s="72" t="s">
        <v>79</v>
      </c>
      <c r="B114" s="15"/>
      <c r="C114" s="35"/>
      <c r="D114" s="35"/>
      <c r="E114" s="15"/>
      <c r="F114" s="50"/>
    </row>
    <row r="115" spans="1:7" ht="15.75" x14ac:dyDescent="0.25">
      <c r="A115" s="73" t="s">
        <v>68</v>
      </c>
      <c r="B115" s="15"/>
      <c r="C115" s="35"/>
      <c r="D115" s="35"/>
      <c r="E115" s="15"/>
      <c r="F115" s="50"/>
    </row>
    <row r="116" spans="1:7" ht="16.5" customHeight="1" x14ac:dyDescent="0.25">
      <c r="A116" s="73" t="s">
        <v>69</v>
      </c>
      <c r="B116" s="15"/>
      <c r="C116" s="35"/>
      <c r="D116" s="35"/>
      <c r="E116" s="15"/>
      <c r="F116" s="50"/>
    </row>
    <row r="117" spans="1:7" ht="18" customHeight="1" x14ac:dyDescent="0.25">
      <c r="A117" s="33" t="s">
        <v>35</v>
      </c>
      <c r="B117" s="17">
        <f>B85+B84+B64+B35+B9</f>
        <v>9651.9576400000005</v>
      </c>
      <c r="C117" s="17">
        <f>C85+C84+C64+C35+C9</f>
        <v>115823.49168000001</v>
      </c>
      <c r="D117" s="17">
        <f>D85+D84+D64+D35+D9</f>
        <v>0</v>
      </c>
      <c r="E117" s="15">
        <f t="shared" si="7"/>
        <v>115823.49168000001</v>
      </c>
      <c r="F117" s="52"/>
      <c r="G117" s="17">
        <v>30151.506310000001</v>
      </c>
    </row>
    <row r="118" spans="1:7" ht="16.5" customHeight="1" x14ac:dyDescent="0.25">
      <c r="A118" s="29" t="s">
        <v>27</v>
      </c>
      <c r="B118" s="28">
        <f>тариф!B31</f>
        <v>839.6</v>
      </c>
      <c r="C118" s="28">
        <f>тариф!B31</f>
        <v>839.6</v>
      </c>
      <c r="D118" s="28">
        <f>тариф!B31</f>
        <v>839.6</v>
      </c>
      <c r="E118" s="54"/>
      <c r="F118" s="14"/>
    </row>
    <row r="119" spans="1:7" ht="15.75" x14ac:dyDescent="0.25">
      <c r="A119" s="40" t="s">
        <v>39</v>
      </c>
      <c r="B119" s="41">
        <f>B117/B118</f>
        <v>11.495900000000001</v>
      </c>
      <c r="C119" s="41">
        <f>C117/C118/12</f>
        <v>11.495900000000001</v>
      </c>
      <c r="D119" s="41"/>
      <c r="E119" s="43"/>
      <c r="F119" s="19"/>
    </row>
    <row r="120" spans="1:7" ht="15.75" x14ac:dyDescent="0.25">
      <c r="A120" s="42"/>
      <c r="B120" s="49"/>
      <c r="C120" s="49"/>
      <c r="D120" s="49"/>
      <c r="E120" s="49"/>
      <c r="F120" s="19"/>
    </row>
    <row r="121" spans="1:7" ht="15.75" hidden="1" x14ac:dyDescent="0.25">
      <c r="A121" s="42"/>
      <c r="B121" s="49"/>
      <c r="C121" s="49"/>
      <c r="D121" s="49"/>
      <c r="E121" s="49"/>
      <c r="F121" s="19"/>
    </row>
    <row r="122" spans="1:7" ht="18.75" hidden="1" x14ac:dyDescent="0.3">
      <c r="A122" s="45" t="s">
        <v>48</v>
      </c>
      <c r="B122" s="1" t="s">
        <v>32</v>
      </c>
      <c r="C122" s="46"/>
      <c r="D122" s="46"/>
      <c r="E122" s="46"/>
      <c r="F122" s="1"/>
    </row>
    <row r="123" spans="1:7" ht="15.75" x14ac:dyDescent="0.25">
      <c r="A123" s="30"/>
      <c r="B123" s="48"/>
      <c r="C123" s="48"/>
      <c r="D123" s="48"/>
      <c r="E123" s="48"/>
    </row>
    <row r="124" spans="1:7" ht="15.75" x14ac:dyDescent="0.25">
      <c r="A124" s="13" t="s">
        <v>31</v>
      </c>
      <c r="B124" s="44" t="s">
        <v>46</v>
      </c>
      <c r="D124" s="44" t="s">
        <v>33</v>
      </c>
      <c r="E124" s="44"/>
    </row>
    <row r="125" spans="1:7" ht="15.75" x14ac:dyDescent="0.25">
      <c r="A125" s="30"/>
      <c r="B125" s="48"/>
      <c r="C125" s="48"/>
      <c r="D125" s="48"/>
      <c r="E125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topLeftCell="A99" zoomScaleNormal="100" workbookViewId="0">
      <selection activeCell="B67" sqref="B67:B69"/>
    </sheetView>
  </sheetViews>
  <sheetFormatPr defaultRowHeight="15" x14ac:dyDescent="0.25"/>
  <cols>
    <col min="1" max="1" width="59.7109375" style="1" customWidth="1"/>
    <col min="2" max="2" width="14.28515625" style="2" customWidth="1"/>
    <col min="3" max="3" width="13.7109375" style="2" customWidth="1"/>
    <col min="4" max="4" width="14.7109375" style="2" customWidth="1"/>
    <col min="5" max="5" width="19.28515625" style="2" customWidth="1"/>
    <col min="6" max="6" width="17.140625" style="2" customWidth="1"/>
    <col min="7" max="7" width="21" style="1" customWidth="1"/>
    <col min="8" max="8" width="12" style="1" customWidth="1"/>
    <col min="9" max="12" width="9.140625" style="1" customWidth="1"/>
    <col min="13" max="16384" width="9.140625" style="1"/>
  </cols>
  <sheetData>
    <row r="1" spans="1:10" ht="28.5" customHeight="1" x14ac:dyDescent="0.25">
      <c r="A1" s="68" t="s">
        <v>47</v>
      </c>
      <c r="B1" s="48"/>
      <c r="C1" s="48"/>
      <c r="D1" s="48"/>
      <c r="E1" s="48"/>
    </row>
    <row r="2" spans="1:10" ht="30" customHeight="1" x14ac:dyDescent="0.25">
      <c r="A2" s="68" t="s">
        <v>81</v>
      </c>
      <c r="B2" s="48"/>
      <c r="C2" s="48"/>
      <c r="D2" s="48"/>
      <c r="E2" s="48"/>
    </row>
    <row r="3" spans="1:10" ht="23.25" customHeight="1" x14ac:dyDescent="0.25">
      <c r="A3" s="138" t="s">
        <v>92</v>
      </c>
      <c r="B3" s="138"/>
      <c r="C3" s="138"/>
      <c r="D3" s="138"/>
      <c r="E3" s="138"/>
      <c r="F3" s="20"/>
    </row>
    <row r="4" spans="1:10" ht="22.5" customHeight="1" x14ac:dyDescent="0.25">
      <c r="A4" s="57" t="s">
        <v>1</v>
      </c>
      <c r="B4" s="139" t="str">
        <f>тариф!B2</f>
        <v>Тимирязева, 27 /1</v>
      </c>
      <c r="C4" s="140"/>
      <c r="D4" s="140"/>
      <c r="E4" s="141"/>
      <c r="F4" s="25"/>
    </row>
    <row r="5" spans="1:10" ht="20.25" customHeight="1" x14ac:dyDescent="0.25">
      <c r="A5" s="142" t="s">
        <v>30</v>
      </c>
      <c r="B5" s="145" t="s">
        <v>44</v>
      </c>
      <c r="C5" s="147"/>
      <c r="D5" s="51" t="s">
        <v>45</v>
      </c>
      <c r="E5" s="51" t="s">
        <v>72</v>
      </c>
    </row>
    <row r="6" spans="1:10" ht="18" customHeight="1" x14ac:dyDescent="0.25">
      <c r="A6" s="143"/>
      <c r="B6" s="24" t="s">
        <v>43</v>
      </c>
      <c r="C6" s="24" t="s">
        <v>42</v>
      </c>
      <c r="D6" s="24" t="s">
        <v>42</v>
      </c>
      <c r="E6" s="24" t="s">
        <v>73</v>
      </c>
      <c r="F6" s="26"/>
    </row>
    <row r="7" spans="1:10" ht="15.75" x14ac:dyDescent="0.25">
      <c r="A7" s="144"/>
      <c r="B7" s="34" t="s">
        <v>34</v>
      </c>
      <c r="C7" s="34" t="s">
        <v>34</v>
      </c>
      <c r="D7" s="34" t="s">
        <v>34</v>
      </c>
      <c r="E7" s="34" t="s">
        <v>34</v>
      </c>
      <c r="F7" s="21"/>
    </row>
    <row r="8" spans="1:10" ht="15.75" x14ac:dyDescent="0.25">
      <c r="A8" s="55">
        <v>1</v>
      </c>
      <c r="B8" s="56">
        <v>2</v>
      </c>
      <c r="C8" s="56">
        <v>3</v>
      </c>
      <c r="D8" s="56">
        <v>4</v>
      </c>
      <c r="E8" s="56">
        <v>5</v>
      </c>
      <c r="F8" s="21"/>
      <c r="G8" s="108" t="s">
        <v>149</v>
      </c>
    </row>
    <row r="9" spans="1:10" ht="17.25" customHeight="1" x14ac:dyDescent="0.25">
      <c r="A9" s="29" t="s">
        <v>2</v>
      </c>
      <c r="B9" s="15">
        <f>B10+B15+B20+B25+B30</f>
        <v>491.66976</v>
      </c>
      <c r="C9" s="15">
        <f>C10+C15+C20+C25+C30</f>
        <v>5900.0371200000009</v>
      </c>
      <c r="D9" s="15">
        <f t="shared" ref="D9" si="0">D10+D15+D20+D25+D30</f>
        <v>0</v>
      </c>
      <c r="E9" s="15">
        <f>C9-D9</f>
        <v>5900.0371200000009</v>
      </c>
      <c r="F9" s="23">
        <f>тариф!C5</f>
        <v>491.66976</v>
      </c>
      <c r="G9" s="106"/>
    </row>
    <row r="10" spans="1:10" ht="63.75" customHeight="1" x14ac:dyDescent="0.25">
      <c r="A10" s="31" t="s">
        <v>3</v>
      </c>
      <c r="B10" s="35">
        <f>F10</f>
        <v>40.972480000000004</v>
      </c>
      <c r="C10" s="35">
        <f>B10*12</f>
        <v>491.66976000000005</v>
      </c>
      <c r="D10" s="35">
        <f>SUM(D11:D14)</f>
        <v>0</v>
      </c>
      <c r="E10" s="15">
        <f>C10-D10</f>
        <v>491.66976000000005</v>
      </c>
      <c r="F10" s="22">
        <f>тариф!E6</f>
        <v>40.972480000000004</v>
      </c>
      <c r="G10" s="107" t="s">
        <v>133</v>
      </c>
      <c r="H10" s="1" t="s">
        <v>134</v>
      </c>
    </row>
    <row r="11" spans="1:10" ht="17.25" customHeight="1" x14ac:dyDescent="0.25">
      <c r="A11" s="36" t="s">
        <v>36</v>
      </c>
      <c r="B11" s="35"/>
      <c r="C11" s="35"/>
      <c r="D11" s="35">
        <v>0</v>
      </c>
      <c r="E11" s="15"/>
      <c r="F11" s="22">
        <f>G14+H14</f>
        <v>45.441963019190503</v>
      </c>
      <c r="G11" s="18">
        <v>19379</v>
      </c>
      <c r="H11" s="1">
        <v>21085</v>
      </c>
      <c r="J11" s="18"/>
    </row>
    <row r="12" spans="1:10" ht="14.25" customHeight="1" x14ac:dyDescent="0.25">
      <c r="A12" s="36" t="s">
        <v>37</v>
      </c>
      <c r="B12" s="35"/>
      <c r="C12" s="35"/>
      <c r="D12" s="35">
        <v>0</v>
      </c>
      <c r="E12" s="15"/>
      <c r="F12" s="22">
        <f>F11*0.302</f>
        <v>13.723472831795531</v>
      </c>
      <c r="G12" s="84">
        <f>('ТХ МКД'!B7+'ТХ МКД'!B28*0.5)*0.0111/1000</f>
        <v>1.3045830000000001E-2</v>
      </c>
      <c r="H12" s="84">
        <f>('ТХ МКД'!B7+'ТХ МКД'!B28*0.5)*0.00539/1000</f>
        <v>6.3348669999999992E-3</v>
      </c>
      <c r="I12" s="100"/>
    </row>
    <row r="13" spans="1:10" ht="14.25" customHeight="1" x14ac:dyDescent="0.25">
      <c r="A13" s="36" t="s">
        <v>38</v>
      </c>
      <c r="B13" s="35"/>
      <c r="C13" s="35"/>
      <c r="D13" s="35">
        <v>0</v>
      </c>
      <c r="E13" s="15"/>
      <c r="F13" s="22">
        <f>F10-F11-F12</f>
        <v>-18.192955850986031</v>
      </c>
      <c r="G13" s="84">
        <f>G12*0.109</f>
        <v>1.4219954700000002E-3</v>
      </c>
      <c r="H13" s="84">
        <f>H12*0.1339</f>
        <v>8.4823869129999985E-4</v>
      </c>
    </row>
    <row r="14" spans="1:10" ht="14.25" customHeight="1" x14ac:dyDescent="0.25">
      <c r="A14" s="36" t="s">
        <v>0</v>
      </c>
      <c r="B14" s="35"/>
      <c r="C14" s="35"/>
      <c r="D14" s="35">
        <v>0</v>
      </c>
      <c r="E14" s="15"/>
      <c r="F14" s="22"/>
      <c r="G14" s="101">
        <f>G11*G13</f>
        <v>27.556850213130005</v>
      </c>
      <c r="H14" s="101">
        <f>H11*H13</f>
        <v>17.885112806060498</v>
      </c>
    </row>
    <row r="15" spans="1:10" ht="33.75" customHeight="1" x14ac:dyDescent="0.25">
      <c r="A15" s="31" t="s">
        <v>4</v>
      </c>
      <c r="B15" s="35">
        <f>F15</f>
        <v>199.74083999999999</v>
      </c>
      <c r="C15" s="35">
        <f>B15*12</f>
        <v>2396.8900800000001</v>
      </c>
      <c r="D15" s="35">
        <f>SUM(D16:D19)</f>
        <v>0</v>
      </c>
      <c r="E15" s="15">
        <f>C15-D15</f>
        <v>2396.8900800000001</v>
      </c>
      <c r="F15" s="22">
        <f>тариф!E7</f>
        <v>199.74083999999999</v>
      </c>
      <c r="G15" s="107" t="s">
        <v>135</v>
      </c>
      <c r="H15" s="107" t="s">
        <v>136</v>
      </c>
      <c r="I15" s="107" t="s">
        <v>137</v>
      </c>
    </row>
    <row r="16" spans="1:10" ht="14.25" customHeight="1" x14ac:dyDescent="0.25">
      <c r="A16" s="37" t="s">
        <v>36</v>
      </c>
      <c r="B16" s="35"/>
      <c r="C16" s="35"/>
      <c r="D16" s="35">
        <v>0</v>
      </c>
      <c r="E16" s="15"/>
      <c r="F16" s="22">
        <f>G19+H19</f>
        <v>162.2719466644815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37" t="s">
        <v>37</v>
      </c>
      <c r="B17" s="35"/>
      <c r="C17" s="35"/>
      <c r="D17" s="35">
        <v>0</v>
      </c>
      <c r="E17" s="15"/>
      <c r="F17" s="22">
        <f>F16*0.302</f>
        <v>49.006127892673412</v>
      </c>
      <c r="G17" s="84">
        <f>('ТХ МКД'!B7+'ТХ МКД'!B28*0.5)*0.0018/1000</f>
        <v>2.11554E-3</v>
      </c>
      <c r="H17" s="84">
        <f>('ТХ МКД'!B7+'ТХ МКД'!B28*0.5)*0.02295/1000</f>
        <v>2.6973134999999999E-2</v>
      </c>
      <c r="I17" s="84">
        <f>('ТХ МКД'!B7+'ТХ МКД'!B28*0.5)*0.02295/1000</f>
        <v>2.6973134999999999E-2</v>
      </c>
    </row>
    <row r="18" spans="1:9" ht="14.25" customHeight="1" x14ac:dyDescent="0.25">
      <c r="A18" s="37" t="s">
        <v>38</v>
      </c>
      <c r="B18" s="35"/>
      <c r="C18" s="35"/>
      <c r="D18" s="35">
        <v>0</v>
      </c>
      <c r="E18" s="15"/>
      <c r="F18" s="22">
        <f>F15-F16-F17</f>
        <v>-11.537234557154925</v>
      </c>
      <c r="G18" s="84">
        <f>G17*0.5079</f>
        <v>1.0744827660000001E-3</v>
      </c>
      <c r="H18" s="84">
        <f>H17*0.2671</f>
        <v>7.2045243585E-3</v>
      </c>
      <c r="I18" s="18"/>
    </row>
    <row r="19" spans="1:9" ht="14.25" customHeight="1" x14ac:dyDescent="0.25">
      <c r="A19" s="37" t="s">
        <v>0</v>
      </c>
      <c r="B19" s="35"/>
      <c r="C19" s="35"/>
      <c r="D19" s="35">
        <v>0</v>
      </c>
      <c r="E19" s="15"/>
      <c r="F19" s="22"/>
      <c r="G19" s="101">
        <f>G16*G18</f>
        <v>22.655469121110002</v>
      </c>
      <c r="H19" s="101">
        <f>H16*H18</f>
        <v>139.6164775433715</v>
      </c>
      <c r="I19" s="102">
        <f>I18/2</f>
        <v>0</v>
      </c>
    </row>
    <row r="20" spans="1:9" ht="49.5" customHeight="1" x14ac:dyDescent="0.25">
      <c r="A20" s="31" t="s">
        <v>5</v>
      </c>
      <c r="B20" s="35">
        <f>F20</f>
        <v>19.142880000000002</v>
      </c>
      <c r="C20" s="35">
        <f>B20*12</f>
        <v>229.71456000000001</v>
      </c>
      <c r="D20" s="35">
        <f>SUM(D21:D24)</f>
        <v>0</v>
      </c>
      <c r="E20" s="15">
        <f>C20-D20</f>
        <v>229.71456000000001</v>
      </c>
      <c r="F20" s="22">
        <f>тариф!E8</f>
        <v>19.142880000000002</v>
      </c>
      <c r="G20" s="107" t="s">
        <v>138</v>
      </c>
    </row>
    <row r="21" spans="1:9" ht="15.75" x14ac:dyDescent="0.25">
      <c r="A21" s="37" t="s">
        <v>36</v>
      </c>
      <c r="B21" s="35"/>
      <c r="C21" s="35"/>
      <c r="D21" s="35">
        <v>0</v>
      </c>
      <c r="E21" s="15"/>
      <c r="F21" s="22">
        <f>G24</f>
        <v>24.108451709395201</v>
      </c>
      <c r="G21" s="1">
        <v>19379</v>
      </c>
    </row>
    <row r="22" spans="1:9" ht="15.75" x14ac:dyDescent="0.25">
      <c r="A22" s="37" t="s">
        <v>37</v>
      </c>
      <c r="B22" s="35"/>
      <c r="C22" s="35"/>
      <c r="D22" s="35">
        <v>0</v>
      </c>
      <c r="E22" s="15"/>
      <c r="F22" s="22">
        <f>F21*0.302</f>
        <v>7.28075241623735</v>
      </c>
      <c r="G22" s="84">
        <f>('ТХ МКД'!B7+'ТХ МКД'!B28*0.5)*0.00888/1000</f>
        <v>1.0436664E-2</v>
      </c>
    </row>
    <row r="23" spans="1:9" ht="15.75" x14ac:dyDescent="0.25">
      <c r="A23" s="37" t="s">
        <v>38</v>
      </c>
      <c r="B23" s="35"/>
      <c r="C23" s="35"/>
      <c r="D23" s="35">
        <v>0</v>
      </c>
      <c r="E23" s="15"/>
      <c r="F23" s="22">
        <f>F20-F21-F22</f>
        <v>-12.246324125632549</v>
      </c>
      <c r="G23" s="84">
        <f>G22*0.1192</f>
        <v>1.2440503488E-3</v>
      </c>
      <c r="H23" s="2"/>
    </row>
    <row r="24" spans="1:9" ht="15.75" x14ac:dyDescent="0.25">
      <c r="A24" s="37" t="s">
        <v>0</v>
      </c>
      <c r="B24" s="35"/>
      <c r="C24" s="35"/>
      <c r="D24" s="35">
        <v>0</v>
      </c>
      <c r="E24" s="15"/>
      <c r="F24" s="22"/>
      <c r="G24" s="101">
        <f>G21*G23</f>
        <v>24.108451709395201</v>
      </c>
    </row>
    <row r="25" spans="1:9" ht="15.75" x14ac:dyDescent="0.25">
      <c r="A25" s="31" t="s">
        <v>6</v>
      </c>
      <c r="B25" s="35">
        <f>F25</f>
        <v>78.166760000000011</v>
      </c>
      <c r="C25" s="35">
        <f>B25*12</f>
        <v>938.00112000000013</v>
      </c>
      <c r="D25" s="35">
        <f>SUM(D26:D29)</f>
        <v>0</v>
      </c>
      <c r="E25" s="15">
        <f>C25-D25</f>
        <v>938.00112000000013</v>
      </c>
      <c r="F25" s="22">
        <f>тариф!E9</f>
        <v>78.166760000000011</v>
      </c>
      <c r="G25" s="107" t="s">
        <v>139</v>
      </c>
    </row>
    <row r="26" spans="1:9" ht="15.75" x14ac:dyDescent="0.25">
      <c r="A26" s="37" t="s">
        <v>36</v>
      </c>
      <c r="B26" s="35"/>
      <c r="C26" s="35"/>
      <c r="D26" s="35">
        <v>0</v>
      </c>
      <c r="E26" s="15"/>
      <c r="F26" s="22">
        <f>G28</f>
        <v>48.177823320000009</v>
      </c>
      <c r="G26" s="1">
        <v>12188</v>
      </c>
    </row>
    <row r="27" spans="1:9" ht="15.75" x14ac:dyDescent="0.25">
      <c r="A27" s="37" t="s">
        <v>37</v>
      </c>
      <c r="B27" s="35"/>
      <c r="C27" s="35"/>
      <c r="D27" s="35">
        <v>0</v>
      </c>
      <c r="E27" s="15"/>
      <c r="F27" s="22">
        <f>F26*0.302</f>
        <v>14.549702642640002</v>
      </c>
      <c r="G27" s="84">
        <f>'ТХ МКД'!B27*0.0263/1000</f>
        <v>3.9528900000000006E-3</v>
      </c>
    </row>
    <row r="28" spans="1:9" ht="15.75" x14ac:dyDescent="0.25">
      <c r="A28" s="37" t="s">
        <v>38</v>
      </c>
      <c r="B28" s="35"/>
      <c r="C28" s="35"/>
      <c r="D28" s="35">
        <v>0</v>
      </c>
      <c r="E28" s="15"/>
      <c r="F28" s="22">
        <f>F25-F26-F27</f>
        <v>15.43923403736</v>
      </c>
      <c r="G28" s="101">
        <f>G26*G27</f>
        <v>48.177823320000009</v>
      </c>
      <c r="H28" s="2"/>
    </row>
    <row r="29" spans="1:9" ht="15.75" x14ac:dyDescent="0.25">
      <c r="A29" s="37" t="s">
        <v>0</v>
      </c>
      <c r="B29" s="35"/>
      <c r="C29" s="35"/>
      <c r="D29" s="35">
        <v>0</v>
      </c>
      <c r="E29" s="15"/>
      <c r="F29" s="22"/>
    </row>
    <row r="30" spans="1:9" ht="31.5" x14ac:dyDescent="0.25">
      <c r="A30" s="31" t="s">
        <v>7</v>
      </c>
      <c r="B30" s="35">
        <f>F30</f>
        <v>153.64680000000001</v>
      </c>
      <c r="C30" s="35">
        <f>B30*12</f>
        <v>1843.7616000000003</v>
      </c>
      <c r="D30" s="35">
        <f>SUM(D31:D34)</f>
        <v>0</v>
      </c>
      <c r="E30" s="15">
        <f>C30-D30</f>
        <v>1843.7616000000003</v>
      </c>
      <c r="F30" s="22">
        <f>тариф!C10</f>
        <v>153.64680000000001</v>
      </c>
      <c r="G30" s="107" t="s">
        <v>140</v>
      </c>
    </row>
    <row r="31" spans="1:9" ht="15.75" x14ac:dyDescent="0.25">
      <c r="A31" s="37" t="s">
        <v>36</v>
      </c>
      <c r="B31" s="35"/>
      <c r="C31" s="35"/>
      <c r="D31" s="35"/>
      <c r="E31" s="15"/>
      <c r="F31" s="22">
        <f>G34</f>
        <v>45.833156432209996</v>
      </c>
      <c r="G31" s="1">
        <v>19379</v>
      </c>
    </row>
    <row r="32" spans="1:9" ht="15.75" x14ac:dyDescent="0.25">
      <c r="A32" s="37" t="s">
        <v>37</v>
      </c>
      <c r="B32" s="35"/>
      <c r="C32" s="35"/>
      <c r="D32" s="35"/>
      <c r="E32" s="15"/>
      <c r="F32" s="22">
        <f>F31*0.302</f>
        <v>13.841613242527419</v>
      </c>
      <c r="G32" s="84">
        <f>'ТХ МКД'!B21/1000*0.0763</f>
        <v>1.5298150000000002E-2</v>
      </c>
    </row>
    <row r="33" spans="1:8" ht="15.75" customHeight="1" x14ac:dyDescent="0.25">
      <c r="A33" s="37" t="s">
        <v>83</v>
      </c>
      <c r="B33" s="35"/>
      <c r="C33" s="35"/>
      <c r="D33" s="35"/>
      <c r="E33" s="15"/>
      <c r="F33" s="22">
        <f>F30-F31-F32</f>
        <v>93.972030325262608</v>
      </c>
      <c r="G33" s="84">
        <f>G32*0.1546</f>
        <v>2.3650939899999999E-3</v>
      </c>
      <c r="H33" s="2"/>
    </row>
    <row r="34" spans="1:8" ht="15.75" x14ac:dyDescent="0.25">
      <c r="A34" s="37" t="s">
        <v>0</v>
      </c>
      <c r="B34" s="35"/>
      <c r="C34" s="35"/>
      <c r="D34" s="35"/>
      <c r="E34" s="15"/>
      <c r="F34" s="22"/>
      <c r="G34" s="101">
        <f>G31*G33</f>
        <v>45.833156432209996</v>
      </c>
    </row>
    <row r="35" spans="1:8" ht="31.5" x14ac:dyDescent="0.25">
      <c r="A35" s="29" t="s">
        <v>8</v>
      </c>
      <c r="B35" s="15">
        <f>B36+B41+B46+B51+B56+B58+B60+B62</f>
        <v>1813.9558</v>
      </c>
      <c r="C35" s="15">
        <f t="shared" ref="C35" si="1">C36+C41+C46+C51+C56+C58+C60+C62</f>
        <v>21767.469600000004</v>
      </c>
      <c r="D35" s="15">
        <f>D36+D41+D46+D51+D56+D58+D60+D62</f>
        <v>0</v>
      </c>
      <c r="E35" s="15">
        <f>C35-D35</f>
        <v>21767.469600000004</v>
      </c>
      <c r="F35" s="23">
        <f>тариф!E12</f>
        <v>1813.9558</v>
      </c>
      <c r="G35" s="103"/>
    </row>
    <row r="36" spans="1:8" ht="31.5" customHeight="1" x14ac:dyDescent="0.25">
      <c r="A36" s="31" t="s">
        <v>9</v>
      </c>
      <c r="B36" s="35">
        <f>F36</f>
        <v>749.84676000000002</v>
      </c>
      <c r="C36" s="35">
        <f>B36*12</f>
        <v>8998.1611200000007</v>
      </c>
      <c r="D36" s="35">
        <f>SUM(D37:D40)</f>
        <v>0</v>
      </c>
      <c r="E36" s="15">
        <f>C36-D36</f>
        <v>8998.1611200000007</v>
      </c>
      <c r="F36" s="22">
        <f>тариф!E13</f>
        <v>749.84676000000002</v>
      </c>
      <c r="G36" s="104" t="s">
        <v>141</v>
      </c>
      <c r="H36" s="1" t="s">
        <v>142</v>
      </c>
    </row>
    <row r="37" spans="1:8" ht="15.75" x14ac:dyDescent="0.25">
      <c r="A37" s="37" t="s">
        <v>36</v>
      </c>
      <c r="B37" s="35"/>
      <c r="C37" s="35"/>
      <c r="D37" s="35">
        <v>0</v>
      </c>
      <c r="E37" s="15"/>
      <c r="F37" s="22">
        <f>G40+H40</f>
        <v>333.49332093019098</v>
      </c>
      <c r="G37" s="1">
        <v>22182</v>
      </c>
      <c r="H37" s="1">
        <v>22182</v>
      </c>
    </row>
    <row r="38" spans="1:8" ht="15.75" x14ac:dyDescent="0.25">
      <c r="A38" s="37" t="s">
        <v>37</v>
      </c>
      <c r="B38" s="35"/>
      <c r="C38" s="35"/>
      <c r="D38" s="35">
        <v>0</v>
      </c>
      <c r="E38" s="15"/>
      <c r="F38" s="22">
        <f>F37*0.302</f>
        <v>100.71498292091768</v>
      </c>
      <c r="G38" s="84">
        <f>'ТХ МКД'!B14/325</f>
        <v>3.6923076923076927E-2</v>
      </c>
      <c r="H38" s="84">
        <f>('ТХ МКД'!B7+'ТХ МКД'!B28*0.5)*0.01631/1000</f>
        <v>1.9169143000000003E-2</v>
      </c>
    </row>
    <row r="39" spans="1:8" ht="15.75" x14ac:dyDescent="0.25">
      <c r="A39" s="37" t="s">
        <v>38</v>
      </c>
      <c r="B39" s="35"/>
      <c r="C39" s="35"/>
      <c r="D39" s="35">
        <v>0</v>
      </c>
      <c r="E39" s="15"/>
      <c r="F39" s="22">
        <f>F36-F37-F38</f>
        <v>315.63845614889135</v>
      </c>
      <c r="G39" s="84">
        <f>G38*0.312746</f>
        <v>1.1547544615384618E-2</v>
      </c>
      <c r="H39" s="19">
        <f>H38*0.1819</f>
        <v>3.4868671117000006E-3</v>
      </c>
    </row>
    <row r="40" spans="1:8" ht="15.75" x14ac:dyDescent="0.25">
      <c r="A40" s="37" t="s">
        <v>0</v>
      </c>
      <c r="B40" s="35"/>
      <c r="C40" s="35"/>
      <c r="D40" s="35">
        <v>0</v>
      </c>
      <c r="E40" s="15"/>
      <c r="F40" s="22"/>
      <c r="G40" s="101">
        <f>G37*G39</f>
        <v>256.14763465846158</v>
      </c>
      <c r="H40" s="101">
        <f>H37*H39</f>
        <v>77.34568627172942</v>
      </c>
    </row>
    <row r="41" spans="1:8" ht="18" customHeight="1" x14ac:dyDescent="0.25">
      <c r="A41" s="31" t="s">
        <v>10</v>
      </c>
      <c r="B41" s="35">
        <f>F41</f>
        <v>148.94504000000001</v>
      </c>
      <c r="C41" s="35">
        <f>B41*12</f>
        <v>1787.3404800000001</v>
      </c>
      <c r="D41" s="35">
        <f>SUM(D42:D45)</f>
        <v>0</v>
      </c>
      <c r="E41" s="15">
        <f>C41-D41</f>
        <v>1787.3404800000001</v>
      </c>
      <c r="F41" s="22">
        <f>тариф!E14</f>
        <v>148.94504000000001</v>
      </c>
      <c r="G41" s="1" t="s">
        <v>141</v>
      </c>
      <c r="H41" s="1" t="s">
        <v>142</v>
      </c>
    </row>
    <row r="42" spans="1:8" ht="15.75" x14ac:dyDescent="0.25">
      <c r="A42" s="37" t="s">
        <v>36</v>
      </c>
      <c r="B42" s="35"/>
      <c r="C42" s="35"/>
      <c r="D42" s="35">
        <v>0</v>
      </c>
      <c r="E42" s="15"/>
      <c r="F42" s="22">
        <f>G45</f>
        <v>209.03196893384614</v>
      </c>
      <c r="G42" s="1">
        <v>22182</v>
      </c>
      <c r="H42" s="1">
        <v>22182</v>
      </c>
    </row>
    <row r="43" spans="1:8" ht="15.75" x14ac:dyDescent="0.25">
      <c r="A43" s="37" t="s">
        <v>37</v>
      </c>
      <c r="B43" s="35"/>
      <c r="C43" s="35"/>
      <c r="D43" s="35">
        <v>0</v>
      </c>
      <c r="E43" s="15"/>
      <c r="F43" s="22">
        <f>F42*0.302</f>
        <v>63.127654618021531</v>
      </c>
      <c r="G43" s="84">
        <f>('ТХ МКД'!B7+'ТХ МКД'!B28*0.5)/39000</f>
        <v>3.0135897435897434E-2</v>
      </c>
    </row>
    <row r="44" spans="1:8" ht="15.75" x14ac:dyDescent="0.25">
      <c r="A44" s="37" t="s">
        <v>38</v>
      </c>
      <c r="B44" s="35"/>
      <c r="C44" s="35"/>
      <c r="D44" s="35">
        <v>0</v>
      </c>
      <c r="E44" s="15"/>
      <c r="F44" s="22">
        <f>F41-F42-F43</f>
        <v>-123.21458355186766</v>
      </c>
      <c r="G44" s="84">
        <f>G43*0.3127</f>
        <v>9.4234951282051276E-3</v>
      </c>
    </row>
    <row r="45" spans="1:8" ht="15.75" x14ac:dyDescent="0.25">
      <c r="A45" s="37" t="s">
        <v>0</v>
      </c>
      <c r="B45" s="35"/>
      <c r="C45" s="35"/>
      <c r="D45" s="35">
        <v>0</v>
      </c>
      <c r="E45" s="15"/>
      <c r="F45" s="22"/>
      <c r="G45" s="101">
        <f>G42*G44</f>
        <v>209.03196893384614</v>
      </c>
    </row>
    <row r="46" spans="1:8" ht="17.25" customHeight="1" x14ac:dyDescent="0.25">
      <c r="A46" s="31" t="s">
        <v>11</v>
      </c>
      <c r="B46" s="35">
        <f>F46</f>
        <v>211.74712</v>
      </c>
      <c r="C46" s="35">
        <f>B46*12</f>
        <v>2540.9654399999999</v>
      </c>
      <c r="D46" s="35">
        <f>SUM(D47:D50)</f>
        <v>0</v>
      </c>
      <c r="E46" s="15">
        <f>C46-D46</f>
        <v>2540.9654399999999</v>
      </c>
      <c r="F46" s="22">
        <f>тариф!E15</f>
        <v>211.74712</v>
      </c>
      <c r="G46" s="107" t="s">
        <v>143</v>
      </c>
    </row>
    <row r="47" spans="1:8" ht="15.75" x14ac:dyDescent="0.25">
      <c r="A47" s="37" t="s">
        <v>36</v>
      </c>
      <c r="B47" s="35"/>
      <c r="C47" s="35"/>
      <c r="D47" s="35">
        <v>0</v>
      </c>
      <c r="E47" s="15"/>
      <c r="F47" s="22">
        <f>G49</f>
        <v>112.45333333333333</v>
      </c>
      <c r="G47" s="1">
        <v>21085</v>
      </c>
    </row>
    <row r="48" spans="1:8" ht="15.75" x14ac:dyDescent="0.25">
      <c r="A48" s="37" t="s">
        <v>37</v>
      </c>
      <c r="B48" s="35"/>
      <c r="C48" s="35"/>
      <c r="D48" s="35">
        <v>0</v>
      </c>
      <c r="E48" s="15"/>
      <c r="F48" s="22">
        <f>F47*0.302</f>
        <v>33.960906666666666</v>
      </c>
      <c r="G48" s="84">
        <f>'ТХ МКД'!B16/2250</f>
        <v>5.3333333333333332E-3</v>
      </c>
    </row>
    <row r="49" spans="1:7" ht="15.75" x14ac:dyDescent="0.25">
      <c r="A49" s="37" t="s">
        <v>38</v>
      </c>
      <c r="B49" s="35"/>
      <c r="C49" s="35"/>
      <c r="D49" s="35">
        <v>0</v>
      </c>
      <c r="E49" s="15"/>
      <c r="F49" s="22">
        <f>F46-F47-F48</f>
        <v>65.332879999999989</v>
      </c>
      <c r="G49" s="101">
        <f>G47*G48</f>
        <v>112.45333333333333</v>
      </c>
    </row>
    <row r="50" spans="1:7" ht="15.75" x14ac:dyDescent="0.25">
      <c r="A50" s="37" t="s">
        <v>0</v>
      </c>
      <c r="B50" s="35"/>
      <c r="C50" s="35"/>
      <c r="D50" s="35">
        <v>0</v>
      </c>
      <c r="E50" s="15"/>
      <c r="F50" s="22"/>
    </row>
    <row r="51" spans="1:7" ht="18.75" customHeight="1" x14ac:dyDescent="0.25">
      <c r="A51" s="32" t="s">
        <v>12</v>
      </c>
      <c r="B51" s="35">
        <f>F51</f>
        <v>56.50508</v>
      </c>
      <c r="C51" s="35">
        <f>B51*12</f>
        <v>678.06096000000002</v>
      </c>
      <c r="D51" s="35">
        <f>SUM(D52:D55)</f>
        <v>0</v>
      </c>
      <c r="E51" s="15">
        <f>C51-D51</f>
        <v>678.06096000000002</v>
      </c>
      <c r="F51" s="22">
        <f>тариф!E16</f>
        <v>56.50508</v>
      </c>
      <c r="G51" s="107" t="s">
        <v>144</v>
      </c>
    </row>
    <row r="52" spans="1:7" ht="15.75" x14ac:dyDescent="0.25">
      <c r="A52" s="37" t="s">
        <v>74</v>
      </c>
      <c r="B52" s="35"/>
      <c r="C52" s="35"/>
      <c r="D52" s="35"/>
      <c r="E52" s="15"/>
      <c r="F52" s="22">
        <f>G55</f>
        <v>62.242919999999998</v>
      </c>
      <c r="G52" s="1">
        <v>21085</v>
      </c>
    </row>
    <row r="53" spans="1:7" ht="15.75" x14ac:dyDescent="0.25">
      <c r="A53" s="37" t="s">
        <v>37</v>
      </c>
      <c r="B53" s="35"/>
      <c r="C53" s="35"/>
      <c r="D53" s="35"/>
      <c r="E53" s="15"/>
      <c r="F53" s="22">
        <f>F52*0.302</f>
        <v>18.797361839999997</v>
      </c>
      <c r="G53" s="1">
        <f>'ТХ МКД'!B12/1250</f>
        <v>9.5999999999999992E-3</v>
      </c>
    </row>
    <row r="54" spans="1:7" ht="15.75" x14ac:dyDescent="0.25">
      <c r="A54" s="37" t="s">
        <v>38</v>
      </c>
      <c r="B54" s="35"/>
      <c r="C54" s="35"/>
      <c r="D54" s="35"/>
      <c r="E54" s="15"/>
      <c r="F54" s="22">
        <f>F51-F52-F53</f>
        <v>-24.535201839999996</v>
      </c>
      <c r="G54" s="84">
        <f>G53*0.3075</f>
        <v>2.9519999999999998E-3</v>
      </c>
    </row>
    <row r="55" spans="1:7" ht="15.75" x14ac:dyDescent="0.25">
      <c r="A55" s="37" t="s">
        <v>0</v>
      </c>
      <c r="B55" s="35"/>
      <c r="C55" s="35"/>
      <c r="D55" s="35"/>
      <c r="E55" s="15"/>
      <c r="F55" s="22"/>
      <c r="G55" s="101">
        <f>G52*G54</f>
        <v>62.242919999999998</v>
      </c>
    </row>
    <row r="56" spans="1:7" ht="31.5" x14ac:dyDescent="0.25">
      <c r="A56" s="31" t="s">
        <v>13</v>
      </c>
      <c r="B56" s="35">
        <f>B57</f>
        <v>0</v>
      </c>
      <c r="C56" s="35">
        <f t="shared" ref="C56:C71" si="2">B56*12</f>
        <v>0</v>
      </c>
      <c r="D56" s="35">
        <f>D57</f>
        <v>0</v>
      </c>
      <c r="E56" s="15">
        <f>C56-D56</f>
        <v>0</v>
      </c>
      <c r="F56" s="22">
        <f>тариф!E17</f>
        <v>0</v>
      </c>
    </row>
    <row r="57" spans="1:7" ht="15.75" x14ac:dyDescent="0.25">
      <c r="A57" s="38" t="s">
        <v>84</v>
      </c>
      <c r="B57" s="35">
        <f>F56</f>
        <v>0</v>
      </c>
      <c r="C57" s="35">
        <f>B57*12</f>
        <v>0</v>
      </c>
      <c r="D57" s="35"/>
      <c r="E57" s="15"/>
      <c r="F57" s="22"/>
    </row>
    <row r="58" spans="1:7" ht="15.75" x14ac:dyDescent="0.25">
      <c r="A58" s="31" t="s">
        <v>75</v>
      </c>
      <c r="B58" s="35">
        <f>B59</f>
        <v>259.68828000000002</v>
      </c>
      <c r="C58" s="35">
        <f t="shared" si="2"/>
        <v>3116.25936</v>
      </c>
      <c r="D58" s="35">
        <f>D59</f>
        <v>0</v>
      </c>
      <c r="E58" s="15">
        <f>C58-D58</f>
        <v>3116.25936</v>
      </c>
      <c r="F58" s="22">
        <f>тариф!E18+тариф!E19</f>
        <v>259.68828000000002</v>
      </c>
    </row>
    <row r="59" spans="1:7" ht="15.75" customHeight="1" x14ac:dyDescent="0.25">
      <c r="A59" s="38" t="s">
        <v>93</v>
      </c>
      <c r="B59" s="35">
        <f>F58</f>
        <v>259.68828000000002</v>
      </c>
      <c r="C59" s="35"/>
      <c r="D59" s="35"/>
      <c r="E59" s="15"/>
      <c r="F59" s="22"/>
    </row>
    <row r="60" spans="1:7" ht="15.75" hidden="1" x14ac:dyDescent="0.25">
      <c r="A60" s="31" t="s">
        <v>15</v>
      </c>
      <c r="B60" s="35">
        <f>B61</f>
        <v>0</v>
      </c>
      <c r="C60" s="35">
        <f t="shared" si="2"/>
        <v>0</v>
      </c>
      <c r="D60" s="35"/>
      <c r="E60" s="15" t="e">
        <f>#REF!-D60</f>
        <v>#REF!</v>
      </c>
      <c r="F60" s="22"/>
    </row>
    <row r="61" spans="1:7" ht="31.5" hidden="1" x14ac:dyDescent="0.25">
      <c r="A61" s="38" t="s">
        <v>41</v>
      </c>
      <c r="B61" s="35"/>
      <c r="C61" s="35">
        <f t="shared" si="2"/>
        <v>0</v>
      </c>
      <c r="D61" s="35"/>
      <c r="E61" s="15" t="e">
        <f>#REF!-D61</f>
        <v>#REF!</v>
      </c>
      <c r="F61" s="22"/>
    </row>
    <row r="62" spans="1:7" ht="18" customHeight="1" x14ac:dyDescent="0.25">
      <c r="A62" s="32" t="s">
        <v>16</v>
      </c>
      <c r="B62" s="35">
        <f>B63</f>
        <v>387.22352000000001</v>
      </c>
      <c r="C62" s="35">
        <f t="shared" si="2"/>
        <v>4646.6822400000001</v>
      </c>
      <c r="D62" s="35">
        <f>D63</f>
        <v>0</v>
      </c>
      <c r="E62" s="15">
        <f>C62-D62</f>
        <v>4646.6822400000001</v>
      </c>
      <c r="F62" s="22">
        <f>тариф!E20</f>
        <v>387.22352000000001</v>
      </c>
    </row>
    <row r="63" spans="1:7" ht="18" customHeight="1" x14ac:dyDescent="0.25">
      <c r="A63" s="39" t="s">
        <v>40</v>
      </c>
      <c r="B63" s="35">
        <f>F62</f>
        <v>387.22352000000001</v>
      </c>
      <c r="C63" s="35"/>
      <c r="D63" s="35"/>
      <c r="E63" s="15"/>
      <c r="F63" s="22"/>
    </row>
    <row r="64" spans="1:7" ht="31.5" x14ac:dyDescent="0.25">
      <c r="A64" s="29" t="s">
        <v>17</v>
      </c>
      <c r="B64" s="16">
        <f>B65+B66+B71+B72+B77+B79</f>
        <v>3569.3075200000003</v>
      </c>
      <c r="C64" s="16">
        <f t="shared" ref="C64:D64" si="3">C65+C66+C71+C72+C77+C79</f>
        <v>42831.690240000004</v>
      </c>
      <c r="D64" s="16">
        <f t="shared" si="3"/>
        <v>0</v>
      </c>
      <c r="E64" s="15">
        <f>C64-D64</f>
        <v>42831.690240000004</v>
      </c>
      <c r="F64" s="22"/>
      <c r="G64" s="27"/>
    </row>
    <row r="65" spans="1:7" ht="15.75" x14ac:dyDescent="0.25">
      <c r="A65" s="31" t="s">
        <v>18</v>
      </c>
      <c r="B65" s="47">
        <v>0</v>
      </c>
      <c r="C65" s="35">
        <f t="shared" si="2"/>
        <v>0</v>
      </c>
      <c r="D65" s="35">
        <v>0</v>
      </c>
      <c r="E65" s="15">
        <f t="shared" ref="E65:E66" si="4">C65-D65</f>
        <v>0</v>
      </c>
      <c r="F65" s="22"/>
    </row>
    <row r="66" spans="1:7" ht="17.25" customHeight="1" x14ac:dyDescent="0.25">
      <c r="A66" s="31" t="s">
        <v>19</v>
      </c>
      <c r="B66" s="35">
        <f>SUM(B67:B70)</f>
        <v>1100.12788</v>
      </c>
      <c r="C66" s="35">
        <f>B66*12</f>
        <v>13201.53456</v>
      </c>
      <c r="D66" s="35">
        <f>SUM(D67:D70)</f>
        <v>0</v>
      </c>
      <c r="E66" s="15">
        <f t="shared" si="4"/>
        <v>13201.53456</v>
      </c>
      <c r="F66" s="22">
        <f>тариф!E23</f>
        <v>1100.12788</v>
      </c>
      <c r="G66" s="107" t="s">
        <v>145</v>
      </c>
    </row>
    <row r="67" spans="1:7" ht="15.75" x14ac:dyDescent="0.25">
      <c r="A67" s="37" t="s">
        <v>147</v>
      </c>
      <c r="B67" s="35">
        <f>F67</f>
        <v>726.79945904761905</v>
      </c>
      <c r="C67" s="35">
        <f t="shared" ref="C67:C69" si="5">B67*12</f>
        <v>8721.5935085714282</v>
      </c>
      <c r="D67" s="35"/>
      <c r="E67" s="15"/>
      <c r="F67" s="22">
        <f>G69</f>
        <v>726.79945904761905</v>
      </c>
      <c r="G67" s="1">
        <v>12188</v>
      </c>
    </row>
    <row r="68" spans="1:7" ht="15.75" x14ac:dyDescent="0.25">
      <c r="A68" s="37" t="s">
        <v>37</v>
      </c>
      <c r="B68" s="35">
        <f t="shared" ref="B68:B69" si="6">F68</f>
        <v>219.49343663238093</v>
      </c>
      <c r="C68" s="35">
        <f t="shared" si="5"/>
        <v>2633.9212395885711</v>
      </c>
      <c r="D68" s="35"/>
      <c r="E68" s="15"/>
      <c r="F68" s="22">
        <f>F67*0.302</f>
        <v>219.49343663238093</v>
      </c>
      <c r="G68" s="105">
        <f>'ТХ МКД'!B30/5250</f>
        <v>5.9632380952380951E-2</v>
      </c>
    </row>
    <row r="69" spans="1:7" ht="15.75" x14ac:dyDescent="0.25">
      <c r="A69" s="37" t="s">
        <v>38</v>
      </c>
      <c r="B69" s="35">
        <f t="shared" si="6"/>
        <v>153.83498432000002</v>
      </c>
      <c r="C69" s="35">
        <f t="shared" si="5"/>
        <v>1846.0198118400003</v>
      </c>
      <c r="D69" s="35"/>
      <c r="E69" s="15"/>
      <c r="F69" s="22">
        <f>F66-F67-F68</f>
        <v>153.83498432000002</v>
      </c>
      <c r="G69" s="101">
        <f>G67*G68</f>
        <v>726.79945904761905</v>
      </c>
    </row>
    <row r="70" spans="1:7" ht="15.75" x14ac:dyDescent="0.25">
      <c r="A70" s="37" t="s">
        <v>0</v>
      </c>
      <c r="B70" s="35"/>
      <c r="C70" s="35"/>
      <c r="D70" s="35"/>
      <c r="E70" s="15"/>
      <c r="F70" s="22"/>
    </row>
    <row r="71" spans="1:7" ht="15.75" x14ac:dyDescent="0.25">
      <c r="A71" s="31" t="s">
        <v>20</v>
      </c>
      <c r="B71" s="35">
        <v>0</v>
      </c>
      <c r="C71" s="35">
        <f t="shared" si="2"/>
        <v>0</v>
      </c>
      <c r="D71" s="35">
        <v>0</v>
      </c>
      <c r="E71" s="15"/>
      <c r="F71" s="22"/>
    </row>
    <row r="72" spans="1:7" ht="15.75" x14ac:dyDescent="0.25">
      <c r="A72" s="31" t="s">
        <v>21</v>
      </c>
      <c r="B72" s="35">
        <f>SUM(B73:B76)</f>
        <v>1101.2193600000001</v>
      </c>
      <c r="C72" s="35">
        <f>B72*12</f>
        <v>13214.632320000001</v>
      </c>
      <c r="D72" s="35">
        <f>SUM(D73:D76)</f>
        <v>0</v>
      </c>
      <c r="E72" s="15">
        <f>C72-D72</f>
        <v>13214.632320000001</v>
      </c>
      <c r="F72" s="22">
        <f>тариф!E25</f>
        <v>1101.2193600000001</v>
      </c>
      <c r="G72" s="1" t="s">
        <v>146</v>
      </c>
    </row>
    <row r="73" spans="1:7" ht="15.75" customHeight="1" x14ac:dyDescent="0.25">
      <c r="A73" s="37" t="s">
        <v>148</v>
      </c>
      <c r="B73" s="35">
        <f>F73</f>
        <v>689.88679245283015</v>
      </c>
      <c r="C73" s="35">
        <f t="shared" ref="C73:C75" si="7">B73*12</f>
        <v>8278.6415094339609</v>
      </c>
      <c r="D73" s="35"/>
      <c r="E73" s="15"/>
      <c r="F73" s="22">
        <f>G75</f>
        <v>689.88679245283015</v>
      </c>
      <c r="G73" s="1">
        <v>12188</v>
      </c>
    </row>
    <row r="74" spans="1:7" ht="15.75" x14ac:dyDescent="0.25">
      <c r="A74" s="37" t="s">
        <v>37</v>
      </c>
      <c r="B74" s="35">
        <f>B73*0.302</f>
        <v>208.34581132075471</v>
      </c>
      <c r="C74" s="35">
        <f t="shared" si="7"/>
        <v>2500.1497358490565</v>
      </c>
      <c r="D74" s="35"/>
      <c r="E74" s="15"/>
      <c r="F74" s="22">
        <f>F73*0.302</f>
        <v>208.34581132075471</v>
      </c>
      <c r="G74" s="84">
        <f>'ТХ МКД'!B18/530</f>
        <v>5.6603773584905662E-2</v>
      </c>
    </row>
    <row r="75" spans="1:7" ht="15.75" x14ac:dyDescent="0.25">
      <c r="A75" s="37" t="s">
        <v>38</v>
      </c>
      <c r="B75" s="35">
        <f>F72-B74-B73</f>
        <v>202.9867562264152</v>
      </c>
      <c r="C75" s="35">
        <f t="shared" si="7"/>
        <v>2435.8410747169823</v>
      </c>
      <c r="D75" s="35"/>
      <c r="E75" s="15"/>
      <c r="F75" s="22">
        <f>F72-F73-F74</f>
        <v>202.9867562264152</v>
      </c>
      <c r="G75" s="101">
        <f>G73*G74</f>
        <v>689.88679245283015</v>
      </c>
    </row>
    <row r="76" spans="1:7" ht="15.75" x14ac:dyDescent="0.25">
      <c r="A76" s="37" t="s">
        <v>0</v>
      </c>
      <c r="B76" s="35"/>
      <c r="C76" s="35"/>
      <c r="D76" s="35"/>
      <c r="E76" s="15"/>
      <c r="F76" s="22"/>
    </row>
    <row r="77" spans="1:7" ht="32.25" customHeight="1" x14ac:dyDescent="0.25">
      <c r="A77" s="31" t="s">
        <v>22</v>
      </c>
      <c r="B77" s="35">
        <f>B78</f>
        <v>310.14823999999999</v>
      </c>
      <c r="C77" s="35">
        <f t="shared" ref="C77:C85" si="8">B77*12</f>
        <v>3721.7788799999998</v>
      </c>
      <c r="D77" s="35">
        <f>D78</f>
        <v>0</v>
      </c>
      <c r="E77" s="15">
        <f>C77-D77</f>
        <v>3721.7788799999998</v>
      </c>
      <c r="F77" s="22">
        <f>тариф!E26</f>
        <v>310.14823999999999</v>
      </c>
    </row>
    <row r="78" spans="1:7" ht="18" customHeight="1" x14ac:dyDescent="0.25">
      <c r="A78" s="38" t="s">
        <v>40</v>
      </c>
      <c r="B78" s="35">
        <f>F77</f>
        <v>310.14823999999999</v>
      </c>
      <c r="C78" s="35">
        <f t="shared" si="8"/>
        <v>3721.7788799999998</v>
      </c>
      <c r="D78" s="35"/>
      <c r="E78" s="15"/>
      <c r="F78" s="22"/>
    </row>
    <row r="79" spans="1:7" ht="18" customHeight="1" x14ac:dyDescent="0.25">
      <c r="A79" s="31" t="s">
        <v>23</v>
      </c>
      <c r="B79" s="35">
        <f>F79</f>
        <v>1057.81204</v>
      </c>
      <c r="C79" s="35">
        <f t="shared" si="8"/>
        <v>12693.744480000001</v>
      </c>
      <c r="D79" s="35">
        <f>SUM(D80:D83)</f>
        <v>0</v>
      </c>
      <c r="E79" s="15">
        <f>C79-D79</f>
        <v>12693.744480000001</v>
      </c>
      <c r="F79" s="22">
        <f>тариф!E27</f>
        <v>1057.81204</v>
      </c>
    </row>
    <row r="80" spans="1:7" ht="15.75" x14ac:dyDescent="0.25">
      <c r="A80" s="37" t="s">
        <v>36</v>
      </c>
      <c r="B80" s="35"/>
      <c r="C80" s="35"/>
      <c r="D80" s="35"/>
      <c r="E80" s="15"/>
      <c r="F80" s="22"/>
    </row>
    <row r="81" spans="1:6" ht="15.75" x14ac:dyDescent="0.25">
      <c r="A81" s="37" t="s">
        <v>37</v>
      </c>
      <c r="B81" s="35"/>
      <c r="C81" s="35"/>
      <c r="D81" s="35"/>
      <c r="E81" s="15"/>
      <c r="F81" s="22"/>
    </row>
    <row r="82" spans="1:6" ht="15.75" x14ac:dyDescent="0.25">
      <c r="A82" s="37" t="s">
        <v>38</v>
      </c>
      <c r="B82" s="35"/>
      <c r="C82" s="35"/>
      <c r="D82" s="35"/>
      <c r="E82" s="15"/>
      <c r="F82" s="22"/>
    </row>
    <row r="83" spans="1:6" ht="15.75" x14ac:dyDescent="0.25">
      <c r="A83" s="37" t="s">
        <v>0</v>
      </c>
      <c r="B83" s="35"/>
      <c r="C83" s="35"/>
      <c r="D83" s="35"/>
      <c r="E83" s="15"/>
      <c r="F83" s="22"/>
    </row>
    <row r="84" spans="1:6" ht="15.75" hidden="1" x14ac:dyDescent="0.25">
      <c r="A84" s="29" t="s">
        <v>24</v>
      </c>
      <c r="B84" s="15"/>
      <c r="C84" s="15">
        <f t="shared" si="8"/>
        <v>0</v>
      </c>
      <c r="D84" s="15"/>
      <c r="E84" s="15" t="e">
        <f>#REF!-D84</f>
        <v>#REF!</v>
      </c>
      <c r="F84" s="22"/>
    </row>
    <row r="85" spans="1:6" ht="31.5" x14ac:dyDescent="0.25">
      <c r="A85" s="29" t="s">
        <v>80</v>
      </c>
      <c r="B85" s="15">
        <f>тариф!C28+тариф!C29</f>
        <v>3748.9819200000002</v>
      </c>
      <c r="C85" s="15">
        <f t="shared" si="8"/>
        <v>44987.783040000002</v>
      </c>
      <c r="D85" s="15">
        <f>D86+D97</f>
        <v>39868.57392000001</v>
      </c>
      <c r="E85" s="15">
        <f>C85-D85</f>
        <v>5119.2091199999923</v>
      </c>
      <c r="F85" s="82">
        <f>тариф!E28+тариф!E29</f>
        <v>3748.9819200000002</v>
      </c>
    </row>
    <row r="86" spans="1:6" ht="17.25" customHeight="1" x14ac:dyDescent="0.25">
      <c r="A86" s="69" t="s">
        <v>70</v>
      </c>
      <c r="B86" s="15"/>
      <c r="C86" s="15"/>
      <c r="D86" s="15">
        <f>SUM(D87:D96)</f>
        <v>21723.138720000003</v>
      </c>
      <c r="E86" s="15"/>
      <c r="F86" s="22"/>
    </row>
    <row r="87" spans="1:6" ht="25.5" x14ac:dyDescent="0.25">
      <c r="A87" s="70" t="s">
        <v>87</v>
      </c>
      <c r="B87" s="15"/>
      <c r="C87" s="15"/>
      <c r="D87" s="35">
        <f>F87*$D$119*12</f>
        <v>14657.400960000001</v>
      </c>
      <c r="E87" s="15"/>
      <c r="F87" s="50">
        <v>1.4548000000000001</v>
      </c>
    </row>
    <row r="88" spans="1:6" ht="15.75" x14ac:dyDescent="0.25">
      <c r="A88" s="70" t="s">
        <v>37</v>
      </c>
      <c r="B88" s="15"/>
      <c r="C88" s="15"/>
      <c r="D88" s="35">
        <f t="shared" ref="D88:D96" si="9">F88*$D$119*12</f>
        <v>4250.7268800000002</v>
      </c>
      <c r="E88" s="15"/>
      <c r="F88" s="50">
        <v>0.4219</v>
      </c>
    </row>
    <row r="89" spans="1:6" ht="15.75" x14ac:dyDescent="0.25">
      <c r="A89" s="70" t="s">
        <v>50</v>
      </c>
      <c r="B89" s="15"/>
      <c r="C89" s="15"/>
      <c r="D89" s="35">
        <f t="shared" si="9"/>
        <v>68.511359999999996</v>
      </c>
      <c r="E89" s="15"/>
      <c r="F89" s="50">
        <v>6.7999999999999996E-3</v>
      </c>
    </row>
    <row r="90" spans="1:6" ht="15.75" x14ac:dyDescent="0.25">
      <c r="A90" s="70" t="s">
        <v>51</v>
      </c>
      <c r="B90" s="15"/>
      <c r="C90" s="15"/>
      <c r="D90" s="35">
        <f t="shared" si="9"/>
        <v>72.541439999999994</v>
      </c>
      <c r="E90" s="15"/>
      <c r="F90" s="50">
        <v>7.1999999999999998E-3</v>
      </c>
    </row>
    <row r="91" spans="1:6" ht="25.5" x14ac:dyDescent="0.25">
      <c r="A91" s="70" t="s">
        <v>88</v>
      </c>
      <c r="B91" s="15"/>
      <c r="C91" s="15"/>
      <c r="D91" s="35">
        <f t="shared" si="9"/>
        <v>64.481279999999998</v>
      </c>
      <c r="E91" s="15"/>
      <c r="F91" s="50">
        <v>6.4000000000000003E-3</v>
      </c>
    </row>
    <row r="92" spans="1:6" ht="15.75" x14ac:dyDescent="0.25">
      <c r="A92" s="70" t="s">
        <v>52</v>
      </c>
      <c r="B92" s="15"/>
      <c r="C92" s="15"/>
      <c r="D92" s="35">
        <f t="shared" si="9"/>
        <v>63.473759999999999</v>
      </c>
      <c r="E92" s="15"/>
      <c r="F92" s="50">
        <v>6.3E-3</v>
      </c>
    </row>
    <row r="93" spans="1:6" ht="25.5" x14ac:dyDescent="0.25">
      <c r="A93" s="70" t="s">
        <v>89</v>
      </c>
      <c r="B93" s="15"/>
      <c r="C93" s="15"/>
      <c r="D93" s="35">
        <f t="shared" si="9"/>
        <v>80.601600000000005</v>
      </c>
      <c r="E93" s="15"/>
      <c r="F93" s="50">
        <v>8.0000000000000002E-3</v>
      </c>
    </row>
    <row r="94" spans="1:6" ht="15.75" x14ac:dyDescent="0.25">
      <c r="A94" s="70" t="s">
        <v>53</v>
      </c>
      <c r="B94" s="15"/>
      <c r="C94" s="15"/>
      <c r="D94" s="35">
        <f t="shared" si="9"/>
        <v>268.00031999999999</v>
      </c>
      <c r="E94" s="15"/>
      <c r="F94" s="50">
        <v>2.6599999999999999E-2</v>
      </c>
    </row>
    <row r="95" spans="1:6" ht="15.75" x14ac:dyDescent="0.25">
      <c r="A95" s="70" t="s">
        <v>54</v>
      </c>
      <c r="B95" s="15"/>
      <c r="C95" s="15"/>
      <c r="D95" s="35">
        <f t="shared" si="9"/>
        <v>710.30159999999989</v>
      </c>
      <c r="E95" s="15"/>
      <c r="F95" s="50">
        <v>7.0499999999999993E-2</v>
      </c>
    </row>
    <row r="96" spans="1:6" ht="15.75" x14ac:dyDescent="0.25">
      <c r="A96" s="70" t="s">
        <v>0</v>
      </c>
      <c r="B96" s="15"/>
      <c r="C96" s="15"/>
      <c r="D96" s="35">
        <f t="shared" si="9"/>
        <v>1487.0995200000002</v>
      </c>
      <c r="E96" s="15"/>
      <c r="F96" s="50">
        <v>0.14760000000000001</v>
      </c>
    </row>
    <row r="97" spans="1:6" ht="17.25" customHeight="1" x14ac:dyDescent="0.25">
      <c r="A97" s="69" t="s">
        <v>71</v>
      </c>
      <c r="B97" s="15"/>
      <c r="C97" s="15"/>
      <c r="D97" s="15">
        <f>D98+D99+D100+D109+D113+D116+D117</f>
        <v>18145.435200000004</v>
      </c>
      <c r="E97" s="15"/>
      <c r="F97" s="22"/>
    </row>
    <row r="98" spans="1:6" ht="30" x14ac:dyDescent="0.25">
      <c r="A98" s="71" t="s">
        <v>86</v>
      </c>
      <c r="B98" s="15"/>
      <c r="C98" s="15"/>
      <c r="D98" s="35">
        <f>F98*$D$119*12</f>
        <v>11059.547039999999</v>
      </c>
      <c r="E98" s="15"/>
      <c r="F98" s="50">
        <v>1.0976999999999999</v>
      </c>
    </row>
    <row r="99" spans="1:6" ht="15.75" x14ac:dyDescent="0.25">
      <c r="A99" s="71" t="s">
        <v>37</v>
      </c>
      <c r="B99" s="15"/>
      <c r="C99" s="15"/>
      <c r="D99" s="35">
        <f t="shared" ref="D99:D117" si="10">F99*$D$119*12</f>
        <v>3228.0940800000008</v>
      </c>
      <c r="E99" s="15"/>
      <c r="F99" s="50">
        <v>0.32040000000000002</v>
      </c>
    </row>
    <row r="100" spans="1:6" ht="30" x14ac:dyDescent="0.25">
      <c r="A100" s="71" t="s">
        <v>55</v>
      </c>
      <c r="B100" s="15"/>
      <c r="C100" s="15"/>
      <c r="D100" s="35">
        <f t="shared" si="10"/>
        <v>1312.79856</v>
      </c>
      <c r="E100" s="15"/>
      <c r="F100" s="50">
        <v>0.1303</v>
      </c>
    </row>
    <row r="101" spans="1:6" ht="15.75" x14ac:dyDescent="0.25">
      <c r="A101" s="72" t="s">
        <v>56</v>
      </c>
      <c r="B101" s="15"/>
      <c r="C101" s="15"/>
      <c r="D101" s="35">
        <f t="shared" si="10"/>
        <v>232.73711999999998</v>
      </c>
      <c r="E101" s="15"/>
      <c r="F101" s="50">
        <v>2.3099999999999999E-2</v>
      </c>
    </row>
    <row r="102" spans="1:6" ht="15.75" x14ac:dyDescent="0.25">
      <c r="A102" s="72" t="s">
        <v>57</v>
      </c>
      <c r="B102" s="15"/>
      <c r="C102" s="15"/>
      <c r="D102" s="35">
        <f t="shared" si="10"/>
        <v>10.075200000000001</v>
      </c>
      <c r="E102" s="15"/>
      <c r="F102" s="50">
        <v>1E-3</v>
      </c>
    </row>
    <row r="103" spans="1:6" ht="15.75" x14ac:dyDescent="0.25">
      <c r="A103" s="72" t="s">
        <v>58</v>
      </c>
      <c r="B103" s="15"/>
      <c r="C103" s="15"/>
      <c r="D103" s="35">
        <f t="shared" si="10"/>
        <v>219.63936000000001</v>
      </c>
      <c r="E103" s="15"/>
      <c r="F103" s="50">
        <v>2.18E-2</v>
      </c>
    </row>
    <row r="104" spans="1:6" ht="15.75" x14ac:dyDescent="0.25">
      <c r="A104" s="72" t="s">
        <v>90</v>
      </c>
      <c r="B104" s="15"/>
      <c r="C104" s="15"/>
      <c r="D104" s="35">
        <f t="shared" si="10"/>
        <v>22.16544</v>
      </c>
      <c r="E104" s="15"/>
      <c r="F104" s="50">
        <v>2.2000000000000001E-3</v>
      </c>
    </row>
    <row r="105" spans="1:6" ht="15.75" x14ac:dyDescent="0.25">
      <c r="A105" s="72" t="s">
        <v>59</v>
      </c>
      <c r="B105" s="15"/>
      <c r="C105" s="15"/>
      <c r="D105" s="35">
        <f t="shared" si="10"/>
        <v>0</v>
      </c>
      <c r="E105" s="15"/>
      <c r="F105" s="50">
        <v>0</v>
      </c>
    </row>
    <row r="106" spans="1:6" ht="15.75" x14ac:dyDescent="0.25">
      <c r="A106" s="72" t="s">
        <v>60</v>
      </c>
      <c r="B106" s="15"/>
      <c r="C106" s="15"/>
      <c r="D106" s="35">
        <f t="shared" si="10"/>
        <v>203.51904000000002</v>
      </c>
      <c r="E106" s="15"/>
      <c r="F106" s="50">
        <v>2.0199999999999999E-2</v>
      </c>
    </row>
    <row r="107" spans="1:6" ht="15.75" x14ac:dyDescent="0.25">
      <c r="A107" s="72" t="s">
        <v>91</v>
      </c>
      <c r="B107" s="15"/>
      <c r="C107" s="15"/>
      <c r="D107" s="35">
        <f t="shared" si="10"/>
        <v>614.58720000000005</v>
      </c>
      <c r="E107" s="15"/>
      <c r="F107" s="50">
        <v>6.0999999999999999E-2</v>
      </c>
    </row>
    <row r="108" spans="1:6" ht="15.75" x14ac:dyDescent="0.25">
      <c r="A108" s="83" t="s">
        <v>62</v>
      </c>
      <c r="B108" s="15"/>
      <c r="C108" s="15"/>
      <c r="D108" s="35">
        <f t="shared" si="10"/>
        <v>11.08272</v>
      </c>
      <c r="E108" s="15"/>
      <c r="F108" s="50">
        <v>1.1000000000000001E-3</v>
      </c>
    </row>
    <row r="109" spans="1:6" ht="15.75" x14ac:dyDescent="0.25">
      <c r="A109" s="73" t="s">
        <v>63</v>
      </c>
      <c r="B109" s="15"/>
      <c r="C109" s="15"/>
      <c r="D109" s="35">
        <f t="shared" si="10"/>
        <v>549.09840000000008</v>
      </c>
      <c r="E109" s="15"/>
      <c r="F109" s="50">
        <v>5.45E-2</v>
      </c>
    </row>
    <row r="110" spans="1:6" ht="15.75" x14ac:dyDescent="0.25">
      <c r="A110" s="72" t="s">
        <v>64</v>
      </c>
      <c r="B110" s="15"/>
      <c r="C110" s="15"/>
      <c r="D110" s="35">
        <f t="shared" si="10"/>
        <v>59.443680000000001</v>
      </c>
      <c r="E110" s="15"/>
      <c r="F110" s="50">
        <v>5.8999999999999999E-3</v>
      </c>
    </row>
    <row r="111" spans="1:6" ht="15.75" x14ac:dyDescent="0.25">
      <c r="A111" s="72" t="s">
        <v>65</v>
      </c>
      <c r="B111" s="15"/>
      <c r="C111" s="15"/>
      <c r="D111" s="35">
        <f t="shared" si="10"/>
        <v>285.12815999999998</v>
      </c>
      <c r="E111" s="15"/>
      <c r="F111" s="50">
        <v>2.8299999999999999E-2</v>
      </c>
    </row>
    <row r="112" spans="1:6" ht="15.75" x14ac:dyDescent="0.25">
      <c r="A112" s="72" t="s">
        <v>78</v>
      </c>
      <c r="B112" s="15"/>
      <c r="C112" s="15"/>
      <c r="D112" s="35">
        <f t="shared" si="10"/>
        <v>204.52655999999996</v>
      </c>
      <c r="E112" s="15"/>
      <c r="F112" s="50">
        <v>2.0299999999999999E-2</v>
      </c>
    </row>
    <row r="113" spans="1:7" ht="15.75" x14ac:dyDescent="0.25">
      <c r="A113" s="73" t="s">
        <v>66</v>
      </c>
      <c r="B113" s="15"/>
      <c r="C113" s="15"/>
      <c r="D113" s="35">
        <f t="shared" si="10"/>
        <v>0</v>
      </c>
      <c r="E113" s="15"/>
      <c r="F113" s="50">
        <v>0</v>
      </c>
    </row>
    <row r="114" spans="1:7" ht="15.75" x14ac:dyDescent="0.25">
      <c r="A114" s="72" t="s">
        <v>67</v>
      </c>
      <c r="B114" s="15"/>
      <c r="C114" s="15"/>
      <c r="D114" s="35">
        <f t="shared" si="10"/>
        <v>0</v>
      </c>
      <c r="E114" s="15"/>
      <c r="F114" s="50">
        <v>0</v>
      </c>
    </row>
    <row r="115" spans="1:7" ht="25.5" x14ac:dyDescent="0.25">
      <c r="A115" s="72" t="s">
        <v>79</v>
      </c>
      <c r="B115" s="15"/>
      <c r="C115" s="15"/>
      <c r="D115" s="35">
        <f t="shared" si="10"/>
        <v>0</v>
      </c>
      <c r="E115" s="15"/>
      <c r="F115" s="50">
        <v>0</v>
      </c>
    </row>
    <row r="116" spans="1:7" ht="15.75" x14ac:dyDescent="0.25">
      <c r="A116" s="73" t="s">
        <v>68</v>
      </c>
      <c r="B116" s="15"/>
      <c r="C116" s="15"/>
      <c r="D116" s="35">
        <f t="shared" si="10"/>
        <v>1238.24208</v>
      </c>
      <c r="E116" s="15"/>
      <c r="F116" s="50">
        <v>0.1229</v>
      </c>
    </row>
    <row r="117" spans="1:7" ht="16.5" customHeight="1" x14ac:dyDescent="0.25">
      <c r="A117" s="73" t="s">
        <v>69</v>
      </c>
      <c r="B117" s="15"/>
      <c r="C117" s="15"/>
      <c r="D117" s="35">
        <f t="shared" si="10"/>
        <v>757.65503999999999</v>
      </c>
      <c r="E117" s="15"/>
      <c r="F117" s="50">
        <v>7.5200000000000003E-2</v>
      </c>
    </row>
    <row r="118" spans="1:7" ht="18" customHeight="1" x14ac:dyDescent="0.25">
      <c r="A118" s="33" t="s">
        <v>35</v>
      </c>
      <c r="B118" s="17">
        <f>B85+B84+B64+B35+B9</f>
        <v>9623.9150000000009</v>
      </c>
      <c r="C118" s="17">
        <f>C85+C84+C64+C35+C9</f>
        <v>115486.98000000001</v>
      </c>
      <c r="D118" s="17">
        <f>D85+D84+D64+D35+D9</f>
        <v>39868.57392000001</v>
      </c>
      <c r="E118" s="15">
        <f>C118-D118</f>
        <v>75618.406080000001</v>
      </c>
      <c r="F118" s="52"/>
      <c r="G118" s="17">
        <v>30151.506310000001</v>
      </c>
    </row>
    <row r="119" spans="1:7" ht="16.5" customHeight="1" x14ac:dyDescent="0.25">
      <c r="A119" s="29" t="s">
        <v>27</v>
      </c>
      <c r="B119" s="28">
        <f>тариф!B31</f>
        <v>839.6</v>
      </c>
      <c r="C119" s="28">
        <f>тариф!B31</f>
        <v>839.6</v>
      </c>
      <c r="D119" s="28">
        <f>тариф!B31</f>
        <v>839.6</v>
      </c>
      <c r="E119" s="54"/>
      <c r="F119" s="14"/>
    </row>
    <row r="120" spans="1:7" ht="15.75" x14ac:dyDescent="0.25">
      <c r="A120" s="40" t="s">
        <v>39</v>
      </c>
      <c r="B120" s="41">
        <f>B118/B119</f>
        <v>11.4625</v>
      </c>
      <c r="C120" s="41">
        <f>C118/C119/12</f>
        <v>11.4625</v>
      </c>
      <c r="D120" s="41">
        <f>D118/D119/6</f>
        <v>7.9142000000000019</v>
      </c>
      <c r="E120" s="43"/>
      <c r="F120" s="19"/>
    </row>
    <row r="121" spans="1:7" ht="15.75" x14ac:dyDescent="0.25">
      <c r="A121" s="42"/>
      <c r="B121" s="49"/>
      <c r="C121" s="49"/>
      <c r="D121" s="49"/>
      <c r="E121" s="49"/>
      <c r="F121" s="19"/>
    </row>
    <row r="122" spans="1:7" ht="15.75" hidden="1" x14ac:dyDescent="0.25">
      <c r="A122" s="42"/>
      <c r="B122" s="49"/>
      <c r="C122" s="49"/>
      <c r="D122" s="49"/>
      <c r="E122" s="49"/>
      <c r="F122" s="19"/>
    </row>
    <row r="123" spans="1:7" ht="18.75" hidden="1" x14ac:dyDescent="0.3">
      <c r="A123" s="45" t="s">
        <v>48</v>
      </c>
      <c r="B123" s="1" t="s">
        <v>32</v>
      </c>
      <c r="C123" s="46" t="s">
        <v>49</v>
      </c>
      <c r="D123" s="46"/>
      <c r="E123" s="46"/>
      <c r="F123" s="1"/>
    </row>
    <row r="124" spans="1:7" ht="15.75" x14ac:dyDescent="0.25">
      <c r="A124" s="30"/>
      <c r="B124" s="48"/>
      <c r="C124" s="48"/>
      <c r="D124" s="48"/>
      <c r="E124" s="48"/>
    </row>
    <row r="125" spans="1:7" ht="15.75" x14ac:dyDescent="0.25">
      <c r="A125" s="13" t="s">
        <v>31</v>
      </c>
      <c r="B125" s="44" t="s">
        <v>46</v>
      </c>
      <c r="C125" s="44"/>
      <c r="D125" s="44" t="s">
        <v>33</v>
      </c>
      <c r="E125" s="44"/>
    </row>
    <row r="126" spans="1:7" ht="15.75" x14ac:dyDescent="0.25">
      <c r="A126" s="30"/>
      <c r="B126" s="48"/>
      <c r="C126" s="48"/>
      <c r="D126" s="48"/>
      <c r="E126" s="48"/>
    </row>
  </sheetData>
  <mergeCells count="4">
    <mergeCell ref="A3:E3"/>
    <mergeCell ref="B4:E4"/>
    <mergeCell ref="A5:A7"/>
    <mergeCell ref="B5:C5"/>
  </mergeCells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B2" sqref="B2"/>
    </sheetView>
  </sheetViews>
  <sheetFormatPr defaultRowHeight="15" x14ac:dyDescent="0.25"/>
  <cols>
    <col min="1" max="1" width="78.140625" customWidth="1"/>
    <col min="2" max="2" width="21.5703125" customWidth="1"/>
    <col min="3" max="3" width="16.140625" style="2" customWidth="1"/>
    <col min="4" max="4" width="18.5703125" customWidth="1"/>
    <col min="5" max="5" width="15.140625" customWidth="1"/>
  </cols>
  <sheetData>
    <row r="1" spans="1:6" ht="25.5" customHeight="1" x14ac:dyDescent="0.25">
      <c r="A1" s="64" t="s">
        <v>82</v>
      </c>
      <c r="B1" s="65"/>
      <c r="C1" s="66"/>
    </row>
    <row r="2" spans="1:6" ht="30" customHeight="1" x14ac:dyDescent="0.25">
      <c r="A2" s="59" t="s">
        <v>1</v>
      </c>
      <c r="B2" s="58" t="str">
        <f>'ТХ МКД'!B2</f>
        <v>Тимирязева, 27 /1</v>
      </c>
      <c r="C2" s="58"/>
      <c r="D2" s="58" t="str">
        <f>'ТХ МКД'!B2</f>
        <v>Тимирязева, 27 /1</v>
      </c>
      <c r="E2" s="77"/>
    </row>
    <row r="3" spans="1:6" ht="18" customHeight="1" x14ac:dyDescent="0.25">
      <c r="A3" s="3"/>
      <c r="B3" s="4">
        <v>2020</v>
      </c>
      <c r="C3" s="4"/>
      <c r="D3" s="4">
        <v>2019</v>
      </c>
      <c r="E3" s="77"/>
    </row>
    <row r="4" spans="1:6" ht="17.25" customHeight="1" x14ac:dyDescent="0.25">
      <c r="A4" s="5" t="s">
        <v>30</v>
      </c>
      <c r="B4" s="60" t="s">
        <v>29</v>
      </c>
      <c r="C4" s="61" t="s">
        <v>34</v>
      </c>
      <c r="D4" s="78" t="s">
        <v>29</v>
      </c>
      <c r="E4" s="78" t="s">
        <v>34</v>
      </c>
    </row>
    <row r="5" spans="1:6" ht="16.5" customHeight="1" x14ac:dyDescent="0.25">
      <c r="A5" s="6" t="s">
        <v>2</v>
      </c>
      <c r="B5" s="7">
        <f>SUM(B6:B10)</f>
        <v>0.58560000000000001</v>
      </c>
      <c r="C5" s="62">
        <f>SUM(C6:C10)</f>
        <v>491.66976</v>
      </c>
      <c r="D5" s="76">
        <f>SUM(D6:D10)</f>
        <v>0.58560000000000001</v>
      </c>
      <c r="E5" s="81">
        <f>SUM(E6:E10)</f>
        <v>491.66976</v>
      </c>
    </row>
    <row r="6" spans="1:6" ht="39" customHeight="1" x14ac:dyDescent="0.25">
      <c r="A6" s="8" t="s">
        <v>3</v>
      </c>
      <c r="B6" s="9">
        <v>4.8800000000000003E-2</v>
      </c>
      <c r="C6" s="35">
        <f>B6*$B$31</f>
        <v>40.972480000000004</v>
      </c>
      <c r="D6" s="9">
        <v>4.8800000000000003E-2</v>
      </c>
      <c r="E6" s="80">
        <f>D6*$D$31</f>
        <v>40.972480000000004</v>
      </c>
    </row>
    <row r="7" spans="1:6" ht="18.75" customHeight="1" x14ac:dyDescent="0.25">
      <c r="A7" s="10" t="s">
        <v>4</v>
      </c>
      <c r="B7" s="9">
        <v>0.2379</v>
      </c>
      <c r="C7" s="35">
        <f t="shared" ref="C7:C29" si="0">B7*$B$31</f>
        <v>199.74083999999999</v>
      </c>
      <c r="D7" s="9">
        <v>0.2379</v>
      </c>
      <c r="E7" s="80">
        <f t="shared" ref="E7:E10" si="1">D7*$D$31</f>
        <v>199.74083999999999</v>
      </c>
    </row>
    <row r="8" spans="1:6" ht="25.5" x14ac:dyDescent="0.25">
      <c r="A8" s="8" t="s">
        <v>5</v>
      </c>
      <c r="B8" s="9">
        <v>2.2800000000000001E-2</v>
      </c>
      <c r="C8" s="35">
        <f>B8*$B$31</f>
        <v>19.142880000000002</v>
      </c>
      <c r="D8" s="9">
        <v>2.2800000000000001E-2</v>
      </c>
      <c r="E8" s="80">
        <f t="shared" si="1"/>
        <v>19.142880000000002</v>
      </c>
    </row>
    <row r="9" spans="1:6" ht="15.75" x14ac:dyDescent="0.25">
      <c r="A9" s="10" t="s">
        <v>6</v>
      </c>
      <c r="B9" s="9">
        <v>9.3100000000000002E-2</v>
      </c>
      <c r="C9" s="35">
        <f t="shared" si="0"/>
        <v>78.166760000000011</v>
      </c>
      <c r="D9" s="9">
        <v>9.3100000000000002E-2</v>
      </c>
      <c r="E9" s="80">
        <f t="shared" si="1"/>
        <v>78.166760000000011</v>
      </c>
      <c r="F9" s="84">
        <f>(0.5114*1.2/1.18)*150.3/D31</f>
        <v>9.3099320903416466E-2</v>
      </c>
    </row>
    <row r="10" spans="1:6" ht="15.75" x14ac:dyDescent="0.25">
      <c r="A10" s="10" t="s">
        <v>7</v>
      </c>
      <c r="B10" s="9">
        <v>0.183</v>
      </c>
      <c r="C10" s="35">
        <f t="shared" si="0"/>
        <v>153.64680000000001</v>
      </c>
      <c r="D10" s="9">
        <v>0.183</v>
      </c>
      <c r="E10" s="80">
        <f t="shared" si="1"/>
        <v>153.64680000000001</v>
      </c>
    </row>
    <row r="11" spans="1:6" s="1" customFormat="1" ht="15.75" hidden="1" x14ac:dyDescent="0.25">
      <c r="A11" s="10"/>
      <c r="B11" s="9"/>
      <c r="C11" s="53">
        <f t="shared" si="0"/>
        <v>0</v>
      </c>
      <c r="D11" s="9">
        <v>0</v>
      </c>
    </row>
    <row r="12" spans="1:6" ht="15.75" x14ac:dyDescent="0.25">
      <c r="A12" s="6" t="s">
        <v>8</v>
      </c>
      <c r="B12" s="7">
        <f>SUM(B13:B20)</f>
        <v>2.1938999999999997</v>
      </c>
      <c r="C12" s="62">
        <f>SUM(C13:C20)</f>
        <v>1841.9984399999998</v>
      </c>
      <c r="D12" s="75">
        <f t="shared" ref="D12:E12" si="2">SUM(D13:D20)</f>
        <v>2.1604999999999999</v>
      </c>
      <c r="E12" s="62">
        <f t="shared" si="2"/>
        <v>1813.9558</v>
      </c>
    </row>
    <row r="13" spans="1:6" ht="15.75" x14ac:dyDescent="0.25">
      <c r="A13" s="10" t="s">
        <v>9</v>
      </c>
      <c r="B13" s="9">
        <v>0.8931</v>
      </c>
      <c r="C13" s="35">
        <f t="shared" si="0"/>
        <v>749.84676000000002</v>
      </c>
      <c r="D13" s="9">
        <v>0.8931</v>
      </c>
      <c r="E13" s="80">
        <f>D13*$D$31</f>
        <v>749.84676000000002</v>
      </c>
    </row>
    <row r="14" spans="1:6" ht="15.75" x14ac:dyDescent="0.25">
      <c r="A14" s="10" t="s">
        <v>10</v>
      </c>
      <c r="B14" s="9">
        <v>0.1774</v>
      </c>
      <c r="C14" s="35">
        <f t="shared" si="0"/>
        <v>148.94504000000001</v>
      </c>
      <c r="D14" s="9">
        <v>0.1774</v>
      </c>
      <c r="E14" s="80">
        <f t="shared" ref="E14:E20" si="3">D14*$D$31</f>
        <v>148.94504000000001</v>
      </c>
    </row>
    <row r="15" spans="1:6" ht="15.75" x14ac:dyDescent="0.25">
      <c r="A15" s="10" t="s">
        <v>11</v>
      </c>
      <c r="B15" s="9">
        <v>0.25219999999999998</v>
      </c>
      <c r="C15" s="35">
        <f t="shared" si="0"/>
        <v>211.74712</v>
      </c>
      <c r="D15" s="9">
        <v>0.25219999999999998</v>
      </c>
      <c r="E15" s="80">
        <f t="shared" si="3"/>
        <v>211.74712</v>
      </c>
    </row>
    <row r="16" spans="1:6" ht="15.75" x14ac:dyDescent="0.25">
      <c r="A16" s="11" t="s">
        <v>12</v>
      </c>
      <c r="B16" s="9">
        <v>6.7299999999999999E-2</v>
      </c>
      <c r="C16" s="35">
        <f t="shared" si="0"/>
        <v>56.50508</v>
      </c>
      <c r="D16" s="9">
        <v>6.7299999999999999E-2</v>
      </c>
      <c r="E16" s="80">
        <f t="shared" si="3"/>
        <v>56.50508</v>
      </c>
    </row>
    <row r="17" spans="1:6" ht="15.75" x14ac:dyDescent="0.25">
      <c r="A17" s="10" t="s">
        <v>13</v>
      </c>
      <c r="B17" s="9">
        <v>0</v>
      </c>
      <c r="C17" s="35">
        <f t="shared" si="0"/>
        <v>0</v>
      </c>
      <c r="D17" s="9">
        <v>0</v>
      </c>
      <c r="E17" s="80">
        <f t="shared" si="3"/>
        <v>0</v>
      </c>
    </row>
    <row r="18" spans="1:6" ht="15.75" x14ac:dyDescent="0.25">
      <c r="A18" s="10" t="s">
        <v>14</v>
      </c>
      <c r="B18" s="9">
        <v>0</v>
      </c>
      <c r="C18" s="35">
        <f t="shared" si="0"/>
        <v>0</v>
      </c>
      <c r="D18" s="9">
        <v>0</v>
      </c>
      <c r="E18" s="80">
        <f t="shared" si="3"/>
        <v>0</v>
      </c>
    </row>
    <row r="19" spans="1:6" ht="15.75" x14ac:dyDescent="0.25">
      <c r="A19" s="10" t="s">
        <v>15</v>
      </c>
      <c r="B19" s="9">
        <v>0.3427</v>
      </c>
      <c r="C19" s="35">
        <f t="shared" si="0"/>
        <v>287.73092000000003</v>
      </c>
      <c r="D19" s="9">
        <v>0.30930000000000002</v>
      </c>
      <c r="E19" s="80">
        <f t="shared" si="3"/>
        <v>259.68828000000002</v>
      </c>
    </row>
    <row r="20" spans="1:6" ht="15.75" x14ac:dyDescent="0.25">
      <c r="A20" s="11" t="s">
        <v>16</v>
      </c>
      <c r="B20" s="9">
        <v>0.4612</v>
      </c>
      <c r="C20" s="35">
        <f t="shared" si="0"/>
        <v>387.22352000000001</v>
      </c>
      <c r="D20" s="9">
        <v>0.4612</v>
      </c>
      <c r="E20" s="80">
        <f t="shared" si="3"/>
        <v>387.22352000000001</v>
      </c>
    </row>
    <row r="21" spans="1:6" ht="28.5" x14ac:dyDescent="0.25">
      <c r="A21" s="6" t="s">
        <v>17</v>
      </c>
      <c r="B21" s="7">
        <f>SUM(B22:B27)</f>
        <v>4.2512000000000008</v>
      </c>
      <c r="C21" s="62">
        <f>SUM(C22:C27)</f>
        <v>3569.3075200000003</v>
      </c>
      <c r="D21" s="75">
        <f t="shared" ref="D21:E21" si="4">SUM(D22:D27)</f>
        <v>4.2512000000000008</v>
      </c>
      <c r="E21" s="62">
        <f t="shared" si="4"/>
        <v>3569.3075200000003</v>
      </c>
    </row>
    <row r="22" spans="1:6" ht="15.75" x14ac:dyDescent="0.25">
      <c r="A22" s="10" t="s">
        <v>18</v>
      </c>
      <c r="B22" s="9">
        <v>0</v>
      </c>
      <c r="C22" s="35">
        <f t="shared" si="0"/>
        <v>0</v>
      </c>
      <c r="D22" s="9">
        <v>0</v>
      </c>
      <c r="E22" s="80">
        <f>D22*$D$31</f>
        <v>0</v>
      </c>
    </row>
    <row r="23" spans="1:6" ht="15.75" x14ac:dyDescent="0.25">
      <c r="A23" s="10" t="s">
        <v>19</v>
      </c>
      <c r="B23" s="9">
        <v>1.3103</v>
      </c>
      <c r="C23" s="35">
        <f t="shared" si="0"/>
        <v>1100.12788</v>
      </c>
      <c r="D23" s="9">
        <v>1.3103</v>
      </c>
      <c r="E23" s="80">
        <f t="shared" ref="E23:E29" si="5">D23*$D$31</f>
        <v>1100.12788</v>
      </c>
      <c r="F23" s="84">
        <f>(3.4555*1.2/1.18)*313.07/D31</f>
        <v>1.3103253991004593</v>
      </c>
    </row>
    <row r="24" spans="1:6" ht="15.75" x14ac:dyDescent="0.25">
      <c r="A24" s="10" t="s">
        <v>20</v>
      </c>
      <c r="B24" s="9">
        <v>0</v>
      </c>
      <c r="C24" s="35">
        <f t="shared" si="0"/>
        <v>0</v>
      </c>
      <c r="D24" s="9">
        <v>0</v>
      </c>
      <c r="E24" s="80">
        <f t="shared" si="5"/>
        <v>0</v>
      </c>
    </row>
    <row r="25" spans="1:6" ht="15.75" x14ac:dyDescent="0.25">
      <c r="A25" s="10" t="s">
        <v>21</v>
      </c>
      <c r="B25" s="9">
        <v>1.3116000000000001</v>
      </c>
      <c r="C25" s="35">
        <f t="shared" si="0"/>
        <v>1101.2193600000001</v>
      </c>
      <c r="D25" s="9">
        <v>1.3116000000000001</v>
      </c>
      <c r="E25" s="80">
        <f t="shared" si="5"/>
        <v>1101.2193600000001</v>
      </c>
    </row>
    <row r="26" spans="1:6" ht="15.75" x14ac:dyDescent="0.25">
      <c r="A26" s="10" t="s">
        <v>22</v>
      </c>
      <c r="B26" s="9">
        <v>0.36940000000000001</v>
      </c>
      <c r="C26" s="35">
        <f t="shared" si="0"/>
        <v>310.14823999999999</v>
      </c>
      <c r="D26" s="9">
        <v>0.36940000000000001</v>
      </c>
      <c r="E26" s="80">
        <f t="shared" si="5"/>
        <v>310.14823999999999</v>
      </c>
    </row>
    <row r="27" spans="1:6" ht="15.75" x14ac:dyDescent="0.25">
      <c r="A27" s="10" t="s">
        <v>23</v>
      </c>
      <c r="B27" s="9">
        <v>1.2599</v>
      </c>
      <c r="C27" s="35">
        <f t="shared" si="0"/>
        <v>1057.81204</v>
      </c>
      <c r="D27" s="9">
        <v>1.2599</v>
      </c>
      <c r="E27" s="80">
        <f t="shared" si="5"/>
        <v>1057.81204</v>
      </c>
    </row>
    <row r="28" spans="1:6" ht="15.75" x14ac:dyDescent="0.25">
      <c r="A28" s="6" t="s">
        <v>24</v>
      </c>
      <c r="B28" s="9">
        <v>1.1619999999999999</v>
      </c>
      <c r="C28" s="35">
        <f>B28*$B$31</f>
        <v>975.61519999999996</v>
      </c>
      <c r="D28" s="9">
        <v>1.1619999999999999</v>
      </c>
      <c r="E28" s="80">
        <f t="shared" si="5"/>
        <v>975.61519999999996</v>
      </c>
    </row>
    <row r="29" spans="1:6" ht="15.75" x14ac:dyDescent="0.25">
      <c r="A29" s="6" t="s">
        <v>25</v>
      </c>
      <c r="B29" s="9">
        <v>3.3031999999999999</v>
      </c>
      <c r="C29" s="35">
        <f t="shared" si="0"/>
        <v>2773.36672</v>
      </c>
      <c r="D29" s="9">
        <v>3.3031999999999999</v>
      </c>
      <c r="E29" s="80">
        <f t="shared" si="5"/>
        <v>2773.36672</v>
      </c>
    </row>
    <row r="30" spans="1:6" ht="15.75" x14ac:dyDescent="0.25">
      <c r="A30" s="67" t="s">
        <v>26</v>
      </c>
      <c r="B30" s="12">
        <f>B29+B28+B27+B26+B25+B24+B23+B22+B20+B19+B18+B17+B16+B15+B14+B13+B10+B9+B8+B7+B6</f>
        <v>11.495900000000001</v>
      </c>
      <c r="C30" s="63">
        <f>C29+C28+C27+C26+C25+C24+C23+C22+C20+C19+C18+C17+C16+C15+C14+C13+C10+C9+C8+C7+C6</f>
        <v>9651.9576400000024</v>
      </c>
      <c r="D30" s="79">
        <f t="shared" ref="D30:E30" si="6">D29+D28+D27+D26+D25+D24+D23+D22+D20+D19+D18+D17+D16+D15+D14+D13+D10+D9+D8+D7+D6</f>
        <v>11.4625</v>
      </c>
      <c r="E30" s="63">
        <f t="shared" si="6"/>
        <v>9623.9150000000027</v>
      </c>
    </row>
    <row r="31" spans="1:6" ht="15.75" x14ac:dyDescent="0.25">
      <c r="A31" s="6" t="s">
        <v>27</v>
      </c>
      <c r="B31" s="74">
        <f>'ТХ МКД'!B8</f>
        <v>839.6</v>
      </c>
      <c r="C31" s="74"/>
      <c r="D31" s="74">
        <f>'ТХ МКД'!B8</f>
        <v>839.6</v>
      </c>
    </row>
    <row r="32" spans="1:6" ht="15.75" x14ac:dyDescent="0.25">
      <c r="A32" s="6" t="s">
        <v>28</v>
      </c>
      <c r="B32" s="35">
        <f>B30*B31</f>
        <v>9651.9576400000005</v>
      </c>
      <c r="C32" s="35"/>
      <c r="D32" s="35">
        <f t="shared" ref="D32" si="7">D30*D31</f>
        <v>9623.9150000000009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8" sqref="C8"/>
    </sheetView>
  </sheetViews>
  <sheetFormatPr defaultRowHeight="15" x14ac:dyDescent="0.25"/>
  <cols>
    <col min="1" max="1" width="56.85546875" customWidth="1"/>
    <col min="2" max="2" width="29.42578125" customWidth="1"/>
    <col min="3" max="3" width="28.85546875" customWidth="1"/>
  </cols>
  <sheetData>
    <row r="1" spans="1:3" ht="18" customHeight="1" x14ac:dyDescent="0.25">
      <c r="A1" s="1"/>
    </row>
    <row r="2" spans="1:3" ht="29.25" customHeight="1" x14ac:dyDescent="0.25">
      <c r="A2" s="85" t="s">
        <v>1</v>
      </c>
      <c r="B2" s="97" t="s">
        <v>152</v>
      </c>
      <c r="C2" s="116" t="s">
        <v>152</v>
      </c>
    </row>
    <row r="3" spans="1:3" ht="15.75" customHeight="1" x14ac:dyDescent="0.25">
      <c r="A3" s="86" t="s">
        <v>94</v>
      </c>
      <c r="B3" s="96">
        <v>180</v>
      </c>
      <c r="C3" s="109">
        <v>172</v>
      </c>
    </row>
    <row r="4" spans="1:3" ht="15.75" customHeight="1" x14ac:dyDescent="0.25">
      <c r="A4" s="87" t="s">
        <v>95</v>
      </c>
      <c r="B4" s="96">
        <v>2020</v>
      </c>
      <c r="C4" s="110">
        <v>2021</v>
      </c>
    </row>
    <row r="5" spans="1:3" ht="15.75" customHeight="1" x14ac:dyDescent="0.25">
      <c r="A5" s="87" t="s">
        <v>96</v>
      </c>
      <c r="B5" s="96">
        <v>1992</v>
      </c>
      <c r="C5" s="110">
        <v>1992</v>
      </c>
    </row>
    <row r="6" spans="1:3" ht="15.75" customHeight="1" x14ac:dyDescent="0.25">
      <c r="A6" s="87" t="s">
        <v>97</v>
      </c>
      <c r="B6" s="96">
        <v>28</v>
      </c>
      <c r="C6" s="111">
        <f t="shared" ref="C6" si="0">C4-C5</f>
        <v>29</v>
      </c>
    </row>
    <row r="7" spans="1:3" ht="15.75" customHeight="1" x14ac:dyDescent="0.25">
      <c r="A7" s="87" t="s">
        <v>98</v>
      </c>
      <c r="B7" s="96">
        <v>1080.2</v>
      </c>
      <c r="C7" s="112">
        <v>1080.2</v>
      </c>
    </row>
    <row r="8" spans="1:3" ht="15.75" customHeight="1" x14ac:dyDescent="0.25">
      <c r="A8" s="87" t="s">
        <v>99</v>
      </c>
      <c r="B8" s="96">
        <v>839.6</v>
      </c>
      <c r="C8" s="112">
        <v>786.3</v>
      </c>
    </row>
    <row r="9" spans="1:3" ht="15.75" customHeight="1" x14ac:dyDescent="0.25">
      <c r="A9" s="87" t="s">
        <v>100</v>
      </c>
      <c r="B9" s="96" t="s">
        <v>132</v>
      </c>
      <c r="C9" s="112" t="s">
        <v>132</v>
      </c>
    </row>
    <row r="10" spans="1:3" ht="15.75" customHeight="1" x14ac:dyDescent="0.25">
      <c r="A10" s="87" t="s">
        <v>101</v>
      </c>
      <c r="B10" s="96">
        <v>839.6</v>
      </c>
      <c r="C10" s="110">
        <f t="shared" ref="C10" si="1">IF(C9&gt;0,C8,0)</f>
        <v>786.3</v>
      </c>
    </row>
    <row r="11" spans="1:3" ht="15.75" customHeight="1" x14ac:dyDescent="0.25">
      <c r="A11" s="87" t="s">
        <v>102</v>
      </c>
      <c r="B11" s="96">
        <v>5</v>
      </c>
      <c r="C11" s="112">
        <v>5</v>
      </c>
    </row>
    <row r="12" spans="1:3" ht="15.75" customHeight="1" x14ac:dyDescent="0.25">
      <c r="A12" s="87" t="s">
        <v>103</v>
      </c>
      <c r="B12" s="96">
        <v>12</v>
      </c>
      <c r="C12" s="112">
        <v>12</v>
      </c>
    </row>
    <row r="13" spans="1:3" ht="15.75" customHeight="1" x14ac:dyDescent="0.25">
      <c r="A13" s="87" t="s">
        <v>104</v>
      </c>
      <c r="B13" s="96">
        <v>12</v>
      </c>
      <c r="C13" s="112">
        <f t="shared" ref="C13" si="2">IF(AND(C14+C15=C16+C17,C14+C15=C12),C12,"ОШИБКА")</f>
        <v>12</v>
      </c>
    </row>
    <row r="14" spans="1:3" ht="15.75" customHeight="1" x14ac:dyDescent="0.25">
      <c r="A14" s="88" t="s">
        <v>105</v>
      </c>
      <c r="B14" s="96">
        <v>12</v>
      </c>
      <c r="C14" s="112">
        <v>12</v>
      </c>
    </row>
    <row r="15" spans="1:3" ht="15.75" customHeight="1" x14ac:dyDescent="0.25">
      <c r="A15" s="88" t="s">
        <v>106</v>
      </c>
      <c r="B15" s="96">
        <v>0</v>
      </c>
      <c r="C15" s="112">
        <v>0</v>
      </c>
    </row>
    <row r="16" spans="1:3" ht="15.75" customHeight="1" x14ac:dyDescent="0.25">
      <c r="A16" s="88" t="s">
        <v>107</v>
      </c>
      <c r="B16" s="96">
        <v>12</v>
      </c>
      <c r="C16" s="112">
        <v>12</v>
      </c>
    </row>
    <row r="17" spans="1:3" ht="15.75" customHeight="1" x14ac:dyDescent="0.25">
      <c r="A17" s="88" t="s">
        <v>108</v>
      </c>
      <c r="B17" s="96">
        <v>0</v>
      </c>
      <c r="C17" s="112">
        <v>0</v>
      </c>
    </row>
    <row r="18" spans="1:3" ht="15.75" customHeight="1" x14ac:dyDescent="0.25">
      <c r="A18" s="87" t="s">
        <v>109</v>
      </c>
      <c r="B18" s="96">
        <v>30</v>
      </c>
      <c r="C18" s="112">
        <v>30</v>
      </c>
    </row>
    <row r="19" spans="1:3" ht="15.75" customHeight="1" x14ac:dyDescent="0.25">
      <c r="A19" s="87" t="s">
        <v>110</v>
      </c>
      <c r="B19" s="96">
        <v>200.5</v>
      </c>
      <c r="C19" s="113">
        <f t="shared" ref="C19" si="3">SUM(C20:C22)</f>
        <v>200.5</v>
      </c>
    </row>
    <row r="20" spans="1:3" ht="15.75" customHeight="1" x14ac:dyDescent="0.25">
      <c r="A20" s="89" t="s">
        <v>111</v>
      </c>
      <c r="B20" s="96">
        <v>0</v>
      </c>
      <c r="C20" s="112">
        <v>0</v>
      </c>
    </row>
    <row r="21" spans="1:3" ht="15.75" customHeight="1" x14ac:dyDescent="0.25">
      <c r="A21" s="89" t="s">
        <v>112</v>
      </c>
      <c r="B21" s="96">
        <v>200.5</v>
      </c>
      <c r="C21" s="112">
        <v>200.5</v>
      </c>
    </row>
    <row r="22" spans="1:3" ht="15.75" customHeight="1" x14ac:dyDescent="0.25">
      <c r="A22" s="89" t="s">
        <v>113</v>
      </c>
      <c r="B22" s="96">
        <v>0</v>
      </c>
      <c r="C22" s="112">
        <v>0</v>
      </c>
    </row>
    <row r="23" spans="1:3" ht="15.75" customHeight="1" x14ac:dyDescent="0.25">
      <c r="A23" s="87" t="s">
        <v>114</v>
      </c>
      <c r="B23" s="96">
        <v>1080.2</v>
      </c>
      <c r="C23" s="113">
        <f t="shared" ref="C23" si="4">SUM(C24:C26)</f>
        <v>1080.2</v>
      </c>
    </row>
    <row r="24" spans="1:3" ht="15.75" customHeight="1" x14ac:dyDescent="0.25">
      <c r="A24" s="89" t="s">
        <v>115</v>
      </c>
      <c r="B24" s="96">
        <v>0</v>
      </c>
      <c r="C24" s="112">
        <v>0</v>
      </c>
    </row>
    <row r="25" spans="1:3" ht="15.75" customHeight="1" x14ac:dyDescent="0.25">
      <c r="A25" s="90" t="s">
        <v>116</v>
      </c>
      <c r="B25" s="96">
        <v>1080.2</v>
      </c>
      <c r="C25" s="112">
        <f t="shared" ref="C25" si="5">C7</f>
        <v>1080.2</v>
      </c>
    </row>
    <row r="26" spans="1:3" ht="15.75" customHeight="1" x14ac:dyDescent="0.25">
      <c r="A26" s="91" t="s">
        <v>117</v>
      </c>
      <c r="B26" s="96"/>
      <c r="C26" s="110"/>
    </row>
    <row r="27" spans="1:3" ht="15.75" customHeight="1" x14ac:dyDescent="0.25">
      <c r="A27" s="87" t="s">
        <v>118</v>
      </c>
      <c r="B27" s="96">
        <v>150.30000000000001</v>
      </c>
      <c r="C27" s="110"/>
    </row>
    <row r="28" spans="1:3" ht="15.75" customHeight="1" x14ac:dyDescent="0.25">
      <c r="A28" s="87" t="s">
        <v>119</v>
      </c>
      <c r="B28" s="96">
        <v>190.2</v>
      </c>
      <c r="C28" s="112">
        <v>190.2</v>
      </c>
    </row>
    <row r="29" spans="1:3" ht="15.75" customHeight="1" x14ac:dyDescent="0.25">
      <c r="A29" s="92" t="s">
        <v>120</v>
      </c>
      <c r="B29" s="96">
        <f>B30</f>
        <v>313.07</v>
      </c>
      <c r="C29" s="114">
        <f t="shared" ref="C29" si="6">SUM(C30:C32)</f>
        <v>0</v>
      </c>
    </row>
    <row r="30" spans="1:3" ht="15.75" customHeight="1" x14ac:dyDescent="0.25">
      <c r="A30" s="88" t="s">
        <v>121</v>
      </c>
      <c r="B30" s="96">
        <v>313.07</v>
      </c>
      <c r="C30" s="112">
        <v>0</v>
      </c>
    </row>
    <row r="31" spans="1:3" ht="15.75" customHeight="1" x14ac:dyDescent="0.25">
      <c r="A31" s="88" t="s">
        <v>122</v>
      </c>
      <c r="B31" s="96">
        <v>0</v>
      </c>
      <c r="C31" s="112">
        <v>0</v>
      </c>
    </row>
    <row r="32" spans="1:3" ht="15.75" customHeight="1" x14ac:dyDescent="0.25">
      <c r="A32" s="88" t="s">
        <v>123</v>
      </c>
      <c r="B32" s="96">
        <v>0</v>
      </c>
      <c r="C32" s="112">
        <v>0</v>
      </c>
    </row>
    <row r="33" spans="1:3" ht="15.75" customHeight="1" x14ac:dyDescent="0.25">
      <c r="A33" s="87" t="s">
        <v>124</v>
      </c>
      <c r="B33" s="96">
        <v>1</v>
      </c>
      <c r="C33" s="112">
        <f t="shared" ref="C33" si="7">SUM(C34:C35)</f>
        <v>1</v>
      </c>
    </row>
    <row r="34" spans="1:3" ht="15.75" customHeight="1" x14ac:dyDescent="0.25">
      <c r="A34" s="93" t="s">
        <v>125</v>
      </c>
      <c r="B34" s="96">
        <v>1</v>
      </c>
      <c r="C34" s="112">
        <v>1</v>
      </c>
    </row>
    <row r="35" spans="1:3" ht="15.75" customHeight="1" x14ac:dyDescent="0.25">
      <c r="A35" s="93" t="s">
        <v>126</v>
      </c>
      <c r="B35" s="96">
        <v>0</v>
      </c>
      <c r="C35" s="112">
        <v>0</v>
      </c>
    </row>
    <row r="36" spans="1:3" ht="15.75" customHeight="1" x14ac:dyDescent="0.25">
      <c r="A36" s="92" t="s">
        <v>127</v>
      </c>
      <c r="B36" s="96">
        <v>1</v>
      </c>
      <c r="C36" s="115">
        <v>1</v>
      </c>
    </row>
    <row r="37" spans="1:3" ht="15.75" customHeight="1" x14ac:dyDescent="0.25">
      <c r="A37" s="92" t="s">
        <v>128</v>
      </c>
      <c r="B37" s="96">
        <v>2</v>
      </c>
      <c r="C37" s="112">
        <v>2</v>
      </c>
    </row>
    <row r="38" spans="1:3" ht="15.75" x14ac:dyDescent="0.25">
      <c r="A38" s="94" t="s">
        <v>129</v>
      </c>
      <c r="B38" s="98"/>
    </row>
    <row r="39" spans="1:3" ht="15.75" x14ac:dyDescent="0.25">
      <c r="A39" s="95" t="s">
        <v>130</v>
      </c>
      <c r="B39" s="99"/>
    </row>
    <row r="40" spans="1:3" ht="15.75" x14ac:dyDescent="0.25">
      <c r="A40" s="95" t="s">
        <v>131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калькуляция 2021</vt:lpstr>
      <vt:lpstr>калькуляция с 01.10.2021</vt:lpstr>
      <vt:lpstr>тариф с 01.10.2021</vt:lpstr>
      <vt:lpstr>калькуляция с 01.01.по30.09.21</vt:lpstr>
      <vt:lpstr>калькуляция 2020 </vt:lpstr>
      <vt:lpstr>калькуляция 2019</vt:lpstr>
      <vt:lpstr>тариф</vt:lpstr>
      <vt:lpstr>ТХ МКД</vt:lpstr>
      <vt:lpstr>Лист1</vt:lpstr>
      <vt:lpstr>'калькуляция 2019'!Область_печати</vt:lpstr>
      <vt:lpstr>'калькуляция 2020 '!Область_печати</vt:lpstr>
      <vt:lpstr>'калькуляция 2021'!Область_печати</vt:lpstr>
      <vt:lpstr>'калькуляция с 01.01.по30.09.21'!Область_печати</vt:lpstr>
      <vt:lpstr>'калькуляция с 01.10.2021'!Область_печати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2022-03-30T06:37:46Z</cp:lastPrinted>
  <dcterms:created xsi:type="dcterms:W3CDTF">2018-03-30T11:45:59Z</dcterms:created>
  <dcterms:modified xsi:type="dcterms:W3CDTF">2022-03-30T06:38:50Z</dcterms:modified>
</cp:coreProperties>
</file>